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CAML\AFT Compliance\SMLUVNÍ VZORY KLIENTSKÉ\PŘEDSMLUVKA\Michal_rozpracovane\12_Budoucnost_CDY.ARCaBNP\Hokus pokus\"/>
    </mc:Choice>
  </mc:AlternateContent>
  <xr:revisionPtr revIDLastSave="0" documentId="13_ncr:1_{9753303F-0686-4488-8D52-338007C957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hled fondů" sheetId="1" r:id="rId1"/>
  </sheets>
  <definedNames>
    <definedName name="_xlnm._FilterDatabase" localSheetId="0" hidden="1">'Přehled fondů'!$A$1:$L$173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2" i="1" l="1"/>
  <c r="L110" i="1"/>
  <c r="L113" i="1"/>
  <c r="L165" i="1"/>
  <c r="L164" i="1"/>
  <c r="L163" i="1"/>
  <c r="L162" i="1"/>
  <c r="L111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144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277" i="1"/>
  <c r="L276" i="1"/>
  <c r="L275" i="1"/>
  <c r="L274" i="1"/>
  <c r="L16" i="1" l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L68" i="1"/>
  <c r="L48" i="1"/>
  <c r="L46" i="1"/>
  <c r="L42" i="1"/>
  <c r="L191" i="1"/>
  <c r="L190" i="1"/>
  <c r="L192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39" i="1"/>
  <c r="L77" i="1"/>
  <c r="L240" i="1"/>
  <c r="L76" i="1"/>
  <c r="L70" i="1"/>
  <c r="L230" i="1"/>
  <c r="L229" i="1"/>
  <c r="L228" i="1"/>
  <c r="L227" i="1"/>
  <c r="L226" i="1"/>
  <c r="L225" i="1"/>
  <c r="L224" i="1"/>
  <c r="L17" i="1"/>
  <c r="L32" i="1" l="1"/>
  <c r="L37" i="1"/>
  <c r="L36" i="1"/>
  <c r="L35" i="1"/>
  <c r="L34" i="1"/>
  <c r="L33" i="1"/>
  <c r="L31" i="1"/>
  <c r="L30" i="1"/>
  <c r="L29" i="1"/>
  <c r="L28" i="1"/>
  <c r="L27" i="1"/>
  <c r="L26" i="1"/>
  <c r="L25" i="1"/>
  <c r="L24" i="1"/>
  <c r="L23" i="1"/>
  <c r="L22" i="1"/>
  <c r="L21" i="1"/>
  <c r="L19" i="1"/>
  <c r="L18" i="1"/>
  <c r="L20" i="1"/>
  <c r="L71" i="1"/>
  <c r="L217" i="1"/>
  <c r="L223" i="1"/>
  <c r="L80" i="1"/>
  <c r="L222" i="1"/>
  <c r="L221" i="1"/>
  <c r="L239" i="1"/>
  <c r="L238" i="1"/>
  <c r="L220" i="1"/>
  <c r="L219" i="1"/>
  <c r="L237" i="1"/>
  <c r="L218" i="1"/>
  <c r="L79" i="1"/>
  <c r="L216" i="1"/>
  <c r="L78" i="1"/>
  <c r="L215" i="1"/>
  <c r="L214" i="1"/>
  <c r="L213" i="1"/>
  <c r="L212" i="1"/>
  <c r="L211" i="1"/>
  <c r="L203" i="1"/>
  <c r="L75" i="1"/>
  <c r="L38" i="1"/>
  <c r="L204" i="1"/>
  <c r="L233" i="1"/>
  <c r="L205" i="1"/>
  <c r="L234" i="1"/>
  <c r="L235" i="1"/>
  <c r="L206" i="1"/>
  <c r="L207" i="1"/>
  <c r="L236" i="1"/>
  <c r="L208" i="1"/>
  <c r="L209" i="1"/>
  <c r="L210" i="1"/>
  <c r="L49" i="1" l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9" i="1"/>
  <c r="L72" i="1"/>
  <c r="L74" i="1" l="1"/>
  <c r="L202" i="1"/>
  <c r="L201" i="1"/>
  <c r="L200" i="1"/>
  <c r="L199" i="1"/>
  <c r="L73" i="1"/>
  <c r="L198" i="1"/>
  <c r="L47" i="1"/>
  <c r="L232" i="1"/>
  <c r="L231" i="1"/>
  <c r="L197" i="1"/>
  <c r="L196" i="1"/>
  <c r="L45" i="1"/>
  <c r="L44" i="1"/>
  <c r="L195" i="1" l="1"/>
  <c r="L194" i="1"/>
  <c r="L43" i="1"/>
  <c r="L41" i="1"/>
  <c r="L273" i="1"/>
  <c r="L272" i="1"/>
  <c r="L193" i="1" l="1"/>
  <c r="L40" i="1"/>
  <c r="L263" i="1"/>
  <c r="L266" i="1" l="1"/>
  <c r="L271" i="1"/>
  <c r="L270" i="1"/>
  <c r="L269" i="1"/>
  <c r="L268" i="1"/>
  <c r="L267" i="1"/>
  <c r="L264" i="1" l="1"/>
  <c r="L262" i="1"/>
  <c r="L265" i="1"/>
  <c r="L257" i="1"/>
  <c r="L256" i="1"/>
  <c r="L258" i="1"/>
  <c r="L259" i="1"/>
  <c r="L260" i="1"/>
  <c r="L261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</calcChain>
</file>

<file path=xl/sharedStrings.xml><?xml version="1.0" encoding="utf-8"?>
<sst xmlns="http://schemas.openxmlformats.org/spreadsheetml/2006/main" count="2622" uniqueCount="661">
  <si>
    <t>NÁZEV</t>
  </si>
  <si>
    <t>ISIN</t>
  </si>
  <si>
    <t>KATEGORIE ZÁKAZNÍKA</t>
  </si>
  <si>
    <t>ZNALOSTI A ZKUŠENOSTI</t>
  </si>
  <si>
    <t>MIN. INVESTIČNÍ HORIZONT</t>
  </si>
  <si>
    <t>INVESTIČNÍ CÍL</t>
  </si>
  <si>
    <t>SCHOPNOST NÉST ZTRÁTY</t>
  </si>
  <si>
    <t>TOLERANCE RIZIKA (SRI)</t>
  </si>
  <si>
    <t>SPRÁVCE FONDU</t>
  </si>
  <si>
    <t>KID – sdělení klíčových informací podle nařízení PRIIPs („key information document“)</t>
  </si>
  <si>
    <t>CZ0008473634</t>
  </si>
  <si>
    <t>Neprofesionální / Profesionální / Způsobilá protistrana</t>
  </si>
  <si>
    <t>3 roky</t>
  </si>
  <si>
    <t>Kombinace růstu a ochrany</t>
  </si>
  <si>
    <t>ANO</t>
  </si>
  <si>
    <t>2/7</t>
  </si>
  <si>
    <t>CZ0008478625</t>
  </si>
  <si>
    <t>1 rok</t>
  </si>
  <si>
    <t>1/7</t>
  </si>
  <si>
    <t>J&amp;T FLEXIBILNÍ OPF</t>
  </si>
  <si>
    <t>CZ0008472867</t>
  </si>
  <si>
    <t>2 roky</t>
  </si>
  <si>
    <t>3/7</t>
  </si>
  <si>
    <t>J&amp;T Realitních akcií a dluhopisů OPF</t>
  </si>
  <si>
    <t>CZ0008477866</t>
  </si>
  <si>
    <t>5 let</t>
  </si>
  <si>
    <t>4/7</t>
  </si>
  <si>
    <t>J&amp;T Credit Opportunities B CZK</t>
  </si>
  <si>
    <t>MT7000006987</t>
  </si>
  <si>
    <t>J&amp;T DIVIDEND Fund A1 CZK</t>
  </si>
  <si>
    <t>MT7000024899</t>
  </si>
  <si>
    <t>J&amp;T LIFE Balancovaný OPF</t>
  </si>
  <si>
    <t>CZ0008477601</t>
  </si>
  <si>
    <t>J&amp;T LIFE Dynamický OPF</t>
  </si>
  <si>
    <t>CZ0008477593</t>
  </si>
  <si>
    <t>J&amp;T LIFE Konzervativní OPF</t>
  </si>
  <si>
    <t>CZ0008477585</t>
  </si>
  <si>
    <t>CZ0008473808</t>
  </si>
  <si>
    <t>J&amp;T NextGen OPF</t>
  </si>
  <si>
    <t>CZ0008478187</t>
  </si>
  <si>
    <t>J&amp;T OPPORTUNITY OPF</t>
  </si>
  <si>
    <t>CZ0008473576</t>
  </si>
  <si>
    <t>J&amp;T PERSPEKTIVA OPF</t>
  </si>
  <si>
    <t>CZ0008473592</t>
  </si>
  <si>
    <t>J&amp;T RENTIER Fund A1 CZK</t>
  </si>
  <si>
    <t>MT7000024857</t>
  </si>
  <si>
    <t>J&amp;T Credit Opportunities A EUR</t>
  </si>
  <si>
    <t>MT7000006979</t>
  </si>
  <si>
    <t>J&amp;T Credit Opportunities D CZK</t>
  </si>
  <si>
    <t>MT7000034013</t>
  </si>
  <si>
    <t>J&amp;T Credit Opportunities I CZK</t>
  </si>
  <si>
    <t>MT7000034021</t>
  </si>
  <si>
    <t>J&amp;T DIVIDEND Fund A2 EUR</t>
  </si>
  <si>
    <t>MT7000024907</t>
  </si>
  <si>
    <t>J&amp;T DIVIDEND Fund D1 CZK</t>
  </si>
  <si>
    <t>MT7000024915</t>
  </si>
  <si>
    <t>J&amp;T RENTIER Fund A2 EUR</t>
  </si>
  <si>
    <t>MT7000024865</t>
  </si>
  <si>
    <t>J&amp;T RENTIER Fund D1 CZK</t>
  </si>
  <si>
    <t>MT7000024873</t>
  </si>
  <si>
    <t>VÝSTUPNÍ POPLATEK</t>
  </si>
  <si>
    <t>Maximální pobídka pro ATLANTIK FT z objemu investované částky</t>
  </si>
  <si>
    <t>Základní/Informovaný /Pokročilý investor</t>
  </si>
  <si>
    <t>J&amp;T GLOBAL INDEX A CZK</t>
  </si>
  <si>
    <t>CZ1005100386</t>
  </si>
  <si>
    <t>CZ1005100543</t>
  </si>
  <si>
    <t>CZ1005100451</t>
  </si>
  <si>
    <t>5/7</t>
  </si>
  <si>
    <t>1.17%</t>
  </si>
  <si>
    <t>J&amp;T BOND A CZK OPF</t>
  </si>
  <si>
    <t>J&amp;T CASH OPF</t>
  </si>
  <si>
    <t>J&amp;T MONEY A CZK OPF</t>
  </si>
  <si>
    <t>J&amp;T Hedge Funds EUR OPF třída A</t>
  </si>
  <si>
    <t>CZ1005300010</t>
  </si>
  <si>
    <t>Neprofesionální/Profesionální / Způsobilá protistrana</t>
  </si>
  <si>
    <t>Informovaný/Pokročilý investor</t>
  </si>
  <si>
    <t>Růst</t>
  </si>
  <si>
    <t>J&amp;T Hedge Funds CZK OPF třída A</t>
  </si>
  <si>
    <t>CZ1005100162</t>
  </si>
  <si>
    <t>J&amp;T High Yield CZK OPF</t>
  </si>
  <si>
    <t>CZ0008473600</t>
  </si>
  <si>
    <t>J&amp;T Wold Private Capital OPF</t>
  </si>
  <si>
    <t>CZ1005100410</t>
  </si>
  <si>
    <t>7 let</t>
  </si>
  <si>
    <t>Naše ČESKO OPF</t>
  </si>
  <si>
    <t>CZ0008477684</t>
  </si>
  <si>
    <t>CZ1005100733</t>
  </si>
  <si>
    <t>J&amp;T ENERGY A EUR OPF</t>
  </si>
  <si>
    <t>CZ1005100808</t>
  </si>
  <si>
    <t>J&amp;T WOOD Defense A CZK OPF</t>
  </si>
  <si>
    <t>J&amp;T ENERGY A CZK OPF</t>
  </si>
  <si>
    <t>J&amp;T WOOD Defense A EUR OPF</t>
  </si>
  <si>
    <t>AMUNDI FUNDS US PIONEER FUND - A CZK Hgd</t>
  </si>
  <si>
    <t>LU1883872258</t>
  </si>
  <si>
    <t>Amundi Luxembourg S.A</t>
  </si>
  <si>
    <t>LU1894680591</t>
  </si>
  <si>
    <t>6/7</t>
  </si>
  <si>
    <t>FF - World Fund A-ACC-CZK (hedged)</t>
  </si>
  <si>
    <t>LU1400167216</t>
  </si>
  <si>
    <t>FIL Investment Management (Luxembourg) S.A.</t>
  </si>
  <si>
    <t xml:space="preserve">FF - Global Dividend Fund Svetovych dividend A-ACC-CZK (hdg) </t>
  </si>
  <si>
    <t>LU0979392924</t>
  </si>
  <si>
    <t>Goldman Sachs Global Sustainable Equity - X Cap CZK (hedged i)</t>
  </si>
  <si>
    <t>LU1542713687</t>
  </si>
  <si>
    <t>Goldman Sachs Asset Management B.V.</t>
  </si>
  <si>
    <t xml:space="preserve">FTIF-Franklin Innovation Fund-A (acc) CZK-H1 </t>
  </si>
  <si>
    <t>LU2125249990</t>
  </si>
  <si>
    <t>Franklin Templeton International Services S.à r.l.</t>
  </si>
  <si>
    <t>LU0405488825</t>
  </si>
  <si>
    <t xml:space="preserve">FF - World Fund A-ACC-CZK </t>
  </si>
  <si>
    <t>LU1756523376</t>
  </si>
  <si>
    <t>Goldman Sachs Central European Equity-P Cap CZK</t>
  </si>
  <si>
    <t>LU0082087353</t>
  </si>
  <si>
    <t xml:space="preserve">FF - Global Technology Fund A-ACC-CZK (hedged) </t>
  </si>
  <si>
    <t>LU2807456855</t>
  </si>
  <si>
    <t>Max 2% z odkupu</t>
  </si>
  <si>
    <t>max 15% z investice, po prvním roce 0%</t>
  </si>
  <si>
    <t>max 30% z investice, výše klesá o 6% každoročně po dobu 5 let, následně 0%</t>
  </si>
  <si>
    <t>max 10% z investice, po dobu prvních 3 let</t>
  </si>
  <si>
    <t xml:space="preserve">J&amp;T ARCH II CZK H </t>
  </si>
  <si>
    <t xml:space="preserve">J&amp;T ARCH II EUR H </t>
  </si>
  <si>
    <t>CZ1005203677</t>
  </si>
  <si>
    <t>CZ1005203685</t>
  </si>
  <si>
    <t>Max. 30,00 % (u odkupu s Notice Period 0 měsíců) Max. 5,00 % (u odkupu s Notice Period 9 měsíců) Max. 2,00 % (u odkupu s Notice Period 21 měsíců)</t>
  </si>
  <si>
    <t xml:space="preserve">AMUNDI FUNDS EUROPE EQUITY CLIMATE - A CZK Hgd </t>
  </si>
  <si>
    <t>LU1883868736</t>
  </si>
  <si>
    <t xml:space="preserve">Amundi Fund Solutions - Multi-Asset Balanced - A CZK Hgd </t>
  </si>
  <si>
    <t>LU1121646696</t>
  </si>
  <si>
    <t>4 roky</t>
  </si>
  <si>
    <t xml:space="preserve">AMUNDI FUNDS SBI FM INDIA EQUITY - A CZK </t>
  </si>
  <si>
    <t>LU2716742528</t>
  </si>
  <si>
    <t>LU0405488742</t>
  </si>
  <si>
    <t>LU0405489047</t>
  </si>
  <si>
    <t xml:space="preserve">FTIF-Templeton Asian Growth Fund - A(acc)CZK-H1 </t>
  </si>
  <si>
    <t>LU0768356247</t>
  </si>
  <si>
    <t>LU0799821219</t>
  </si>
  <si>
    <t>LU1114574418</t>
  </si>
  <si>
    <t>LU0429745879</t>
  </si>
  <si>
    <t>FTIF-Franklin Mutual European Fund - A(acc)CZK-H1</t>
  </si>
  <si>
    <t>LU0768356080</t>
  </si>
  <si>
    <t>AMUNDI FUNDS US EQUITY FUNDAMENTAL GROWTH - A EUR</t>
  </si>
  <si>
    <t>LU1883854199</t>
  </si>
  <si>
    <t>AMUNDI FUNDS US PIONEER FUND - A EUR</t>
  </si>
  <si>
    <t>LU1883872332</t>
  </si>
  <si>
    <t xml:space="preserve">FF - Global Dividend Fund A-ACC-EUR (hedged) </t>
  </si>
  <si>
    <t>LU0605515377</t>
  </si>
  <si>
    <t xml:space="preserve">FTIF-Franklin Technology Fund-A(acc)EUR </t>
  </si>
  <si>
    <t>LU0260870158</t>
  </si>
  <si>
    <t xml:space="preserve">FTIF-Franklin India Fund-A(acc)EUR </t>
  </si>
  <si>
    <t>LU0231205187</t>
  </si>
  <si>
    <t xml:space="preserve">Goldman Sachs Global Sustainable Equity - P Cap EUR </t>
  </si>
  <si>
    <t>LU0119216553</t>
  </si>
  <si>
    <t xml:space="preserve">FF - World Fund A-ACC-EUR </t>
  </si>
  <si>
    <t>LU1261432659</t>
  </si>
  <si>
    <t xml:space="preserve">FF – China Innovation Fund A-ACC-EUR </t>
  </si>
  <si>
    <t>LU0455706654</t>
  </si>
  <si>
    <t>FF - Germany Fund A-ACC-EUR</t>
  </si>
  <si>
    <t>LU0261948227</t>
  </si>
  <si>
    <t>Goldman Sachs Eurozone Equity - X Cap EUR</t>
  </si>
  <si>
    <t>LU0113307978</t>
  </si>
  <si>
    <t>AMUNDI FUNDS US PIONEER FUND - A USD</t>
  </si>
  <si>
    <t>LU1883872415</t>
  </si>
  <si>
    <t xml:space="preserve">AMUNDI FUNDS US SHORT TERM BOND - A2 USD </t>
  </si>
  <si>
    <t>LU1882441907</t>
  </si>
  <si>
    <t>AMUNDI FUNDS US EQUITY FUNDAMENTAL GROWTH - A USD</t>
  </si>
  <si>
    <t>LU1883854355</t>
  </si>
  <si>
    <t xml:space="preserve">FTIF-Franklin Technology Fund-A(acc)USD </t>
  </si>
  <si>
    <t>LU0109392836</t>
  </si>
  <si>
    <t>BlackRock-BGF World Mining A2 USD</t>
  </si>
  <si>
    <t>LU0075056555</t>
  </si>
  <si>
    <t>7/7</t>
  </si>
  <si>
    <t>BlackRock (Luxembourg) S.A.</t>
  </si>
  <si>
    <t xml:space="preserve">FTIF-Franklin Innovation Fund-A (acc) USD </t>
  </si>
  <si>
    <t>LU2063271972</t>
  </si>
  <si>
    <t xml:space="preserve">FTIF-Franklin Biotechnology Discovery Fund - A(acc)USD </t>
  </si>
  <si>
    <t>LU0109394709</t>
  </si>
  <si>
    <t xml:space="preserve">FTIF-Franklin Gold &amp; Precious Metals Fund - A(acc)USD </t>
  </si>
  <si>
    <t>LU0496367417</t>
  </si>
  <si>
    <t xml:space="preserve">FTIF-Franklin India Fund-A(acc)USD </t>
  </si>
  <si>
    <t>LU0231203729</t>
  </si>
  <si>
    <t>BlackRock-BGF Sustainable Energy A2 USD</t>
  </si>
  <si>
    <t>LU0124384867</t>
  </si>
  <si>
    <t xml:space="preserve">FIRST EAGLE AMUNDI INTERNATIONAL FUND - AHK </t>
  </si>
  <si>
    <t>LU1095742109</t>
  </si>
  <si>
    <t>LU1883320720</t>
  </si>
  <si>
    <t>AMUNDI FUNDS STRATEGIC INCOME - A CZK Hgd</t>
  </si>
  <si>
    <t>LU1883840990</t>
  </si>
  <si>
    <t xml:space="preserve">AMUNDI FUNDS EURO STRATEGIC BOND - A CZK Hgd </t>
  </si>
  <si>
    <t>LU1882475806</t>
  </si>
  <si>
    <t>LU1883311067</t>
  </si>
  <si>
    <t>LU1049757393</t>
  </si>
  <si>
    <t>LU1883311141</t>
  </si>
  <si>
    <t>LU0442407853</t>
  </si>
  <si>
    <t xml:space="preserve">AMUNDI FUNDS EUROPE EQUITY CLIMATE - A EUR </t>
  </si>
  <si>
    <t>LU1883868819</t>
  </si>
  <si>
    <t>AMUNDI FUNDS EMERGING WORLD EQUITY - A CZK Hgd</t>
  </si>
  <si>
    <t>LU1049754457</t>
  </si>
  <si>
    <t>LU1883321371</t>
  </si>
  <si>
    <t>AMUNDI FUNDS GLOBAL AGGREGATE BOND - A CZK Hgd</t>
  </si>
  <si>
    <t>LU1049752758</t>
  </si>
  <si>
    <t xml:space="preserve">3 roky </t>
  </si>
  <si>
    <t>AMUNDI FUNDS GLOBAL MULTI-ASSET TARGET INCOME - A2 CZK Hgd</t>
  </si>
  <si>
    <t>LU1883330364</t>
  </si>
  <si>
    <t>Amundi Fund Solutions - Multi-Asset Growth - A CZK Hgd</t>
  </si>
  <si>
    <t>LU1121647231</t>
  </si>
  <si>
    <t xml:space="preserve">AMUNDI FUNDS EUROLAND EQUITY - A USD </t>
  </si>
  <si>
    <t>LU1883303809</t>
  </si>
  <si>
    <t>LU1883342617</t>
  </si>
  <si>
    <t>AMUNDI FUNDS SBI FM INDIA EQUITY - A USD</t>
  </si>
  <si>
    <t>LU0236501697</t>
  </si>
  <si>
    <t>LU0389811885</t>
  </si>
  <si>
    <t>AMUNDI FUNDS EURO HIGH YIELD BOND - A CZK Hgd</t>
  </si>
  <si>
    <t>LU1049751867</t>
  </si>
  <si>
    <t>AMUNDI FUNDS EUROPEAN EQUITY VALUE - A EUR</t>
  </si>
  <si>
    <t>LU1883314244</t>
  </si>
  <si>
    <t xml:space="preserve">AMUNDI FUNDS EUROLAND EQUITY - A EUR </t>
  </si>
  <si>
    <t>LU1883303635</t>
  </si>
  <si>
    <t>AMUNDI FUNDS US EQUITY RESEARCH - A USD</t>
  </si>
  <si>
    <t>LU1883859404</t>
  </si>
  <si>
    <t>AMUNDI FUNDS EMERGING MARKETS LOCAL CURRENCY BOND - A CZK Hgd</t>
  </si>
  <si>
    <t>LU1880385494</t>
  </si>
  <si>
    <t xml:space="preserve">FF - China Consumer Fund A-ACC-USD </t>
  </si>
  <si>
    <t>LU0594300179</t>
  </si>
  <si>
    <t xml:space="preserve">FTIF-Franklin High Yield Fund-A(acc)USD </t>
  </si>
  <si>
    <t>LU0131126228</t>
  </si>
  <si>
    <t>LU1084165130</t>
  </si>
  <si>
    <t xml:space="preserve">BlackRock-BGF Latin American A2 USD </t>
  </si>
  <si>
    <t>LU0072463663</t>
  </si>
  <si>
    <t>FF - Euro Short Term Bond Fund A-ACC-EUR</t>
  </si>
  <si>
    <t>LU0267388220</t>
  </si>
  <si>
    <t>KBI INSTITUTIONAL WATER FUND - A CZK</t>
  </si>
  <si>
    <t>IE00BZ2YQN98</t>
  </si>
  <si>
    <t>FF - European High Yield Fund A-ACC-CZK (hedged)</t>
  </si>
  <si>
    <t>LU0979393146</t>
  </si>
  <si>
    <t xml:space="preserve">FTIF-Franklin Gold &amp; Precious Metals Fund-A(acc)EUR </t>
  </si>
  <si>
    <t>LU0496367763</t>
  </si>
  <si>
    <t>LU0113305253</t>
  </si>
  <si>
    <t xml:space="preserve">FF - Global Dividend Fund A-ACC-USD </t>
  </si>
  <si>
    <t>LU0772969993</t>
  </si>
  <si>
    <t xml:space="preserve">FTIF-Franklin Technology Fund - A (acc) EUR-H1 </t>
  </si>
  <si>
    <t>LU1704830576</t>
  </si>
  <si>
    <t xml:space="preserve">Goldman Sachs Greater China Equity X Cap CZK (hedged i) </t>
  </si>
  <si>
    <t>LU2374236318</t>
  </si>
  <si>
    <t xml:space="preserve">FF - Pacific Fund A-ACC-EUR </t>
  </si>
  <si>
    <t>LU0368678339</t>
  </si>
  <si>
    <t xml:space="preserve">Goldman Sachs Patrimonial Aggressive-P Cap EUR </t>
  </si>
  <si>
    <t>LU0119195450</t>
  </si>
  <si>
    <t>FTIF-Templeton Global Bond Fund-A(acc)CZK-H1</t>
  </si>
  <si>
    <t>LU0768356593</t>
  </si>
  <si>
    <t>LU0229946628</t>
  </si>
  <si>
    <t>Goldman Sachs Emerging Markets Debt (Hard Currency) - P Cap CZK (Hedged i)</t>
  </si>
  <si>
    <t>LU2007298628</t>
  </si>
  <si>
    <t xml:space="preserve">FTIF-Franklin Income Fund - A(acc)USD </t>
  </si>
  <si>
    <t>LU1162221912</t>
  </si>
  <si>
    <t xml:space="preserve">FTIF-Templeton Frontier Markets Fund - A(acc)EUR </t>
  </si>
  <si>
    <t>LU0390137031</t>
  </si>
  <si>
    <t xml:space="preserve">FTIF-Templeton Emerging Markets Fund - A(acc)USD </t>
  </si>
  <si>
    <t>LU0128522744</t>
  </si>
  <si>
    <t>FF - Global Dividend Plus Fund - A-ACC-EUR</t>
  </si>
  <si>
    <t>LU0261951957</t>
  </si>
  <si>
    <t xml:space="preserve">Amundi Ireland Limited </t>
  </si>
  <si>
    <t xml:space="preserve">FF - Emerging Markets Fund - A-ACC-EUR </t>
  </si>
  <si>
    <t>LU1048684796</t>
  </si>
  <si>
    <t xml:space="preserve">FTIF-Templeton Asian Growth Fund - A(acc)USD </t>
  </si>
  <si>
    <t>LU0128522157</t>
  </si>
  <si>
    <t>LU0979392841</t>
  </si>
  <si>
    <t xml:space="preserve">BlackRock-BGF Global Equity Income A2 USD </t>
  </si>
  <si>
    <t>LU0545039389</t>
  </si>
  <si>
    <t xml:space="preserve">FTIF-Franklin Technology Fund - N(acc)USD </t>
  </si>
  <si>
    <t>LU0122613655</t>
  </si>
  <si>
    <t>FTIF-Templeton Frontier Markets Fund - A(acc)USD</t>
  </si>
  <si>
    <t>LU0390136736</t>
  </si>
  <si>
    <t>FF - Global Technology Fund - A-ACC-EUR (hedged)</t>
  </si>
  <si>
    <t>LU1841614867</t>
  </si>
  <si>
    <t xml:space="preserve">BlackRock-BGF Global Allocation A2 USD </t>
  </si>
  <si>
    <t>LU0072462426</t>
  </si>
  <si>
    <t xml:space="preserve">FF - UK Special Situations Fund - A-ACC-EUR </t>
  </si>
  <si>
    <t>LU2050860480</t>
  </si>
  <si>
    <t>FTIF-Templeton Global Climate Change - Fund-A(acc)CZK-H1</t>
  </si>
  <si>
    <t>LU2310757120</t>
  </si>
  <si>
    <t xml:space="preserve">FTIF-Templeton Frontier Markets Fund - A(Ydis)USD </t>
  </si>
  <si>
    <t>LU0390137627</t>
  </si>
  <si>
    <t>FF - World Fund A - EUR</t>
  </si>
  <si>
    <t>LU0069449576</t>
  </si>
  <si>
    <t>FF - Emerging Markets Fund A-ACC-USD</t>
  </si>
  <si>
    <t>LU0261950470</t>
  </si>
  <si>
    <t>BlackRock-BGF Asian Dragon A2 USD</t>
  </si>
  <si>
    <t>LU0072462343</t>
  </si>
  <si>
    <t xml:space="preserve">FTIF-Franklin Innovation Fund - A (Ydis) EUR </t>
  </si>
  <si>
    <t>LU2075955273</t>
  </si>
  <si>
    <t>LU0128525689</t>
  </si>
  <si>
    <t xml:space="preserve">BlackRock-BSF European Select Strategies Fund A2 Hedged CZK </t>
  </si>
  <si>
    <t>LU1433515993</t>
  </si>
  <si>
    <t>FTIF-Franklin Mutual European Fund - A(acc)EUR</t>
  </si>
  <si>
    <t>LU0140363002</t>
  </si>
  <si>
    <t>LU0127786860</t>
  </si>
  <si>
    <t>LU2242646235</t>
  </si>
  <si>
    <t>LU0128525929</t>
  </si>
  <si>
    <t xml:space="preserve">FTIF-Franklin Euro High Yield Fund - A(acc)EUR </t>
  </si>
  <si>
    <t>LU0131126574</t>
  </si>
  <si>
    <t>Goldman Sachs Central European Equity - P Cap EUR</t>
  </si>
  <si>
    <t>LU0176676459</t>
  </si>
  <si>
    <t>FF - Global Industrials Fund A-ACC-USD</t>
  </si>
  <si>
    <t>LU2701599156</t>
  </si>
  <si>
    <t xml:space="preserve">Goldman Sachs Central European Equity - P Dis CZK </t>
  </si>
  <si>
    <t>LU0120667240</t>
  </si>
  <si>
    <t>FTIF-Templeton Emerging Markets Smaller Comp. Fund - A(acc)EUR</t>
  </si>
  <si>
    <t>LU0300743431</t>
  </si>
  <si>
    <t>LU0121175821</t>
  </si>
  <si>
    <t>LU0231790675</t>
  </si>
  <si>
    <t>FF - Global Industrials Fund A-ACC-EUR</t>
  </si>
  <si>
    <t>LU2504555777</t>
  </si>
  <si>
    <t xml:space="preserve">FIL Investment Management (Luxembourg) S.à.r.l. </t>
  </si>
  <si>
    <t>LU0261946445</t>
  </si>
  <si>
    <t>BlackRock-BGF Euro Corporate Bond Fund A2 CZK</t>
  </si>
  <si>
    <t>LU1791176222</t>
  </si>
  <si>
    <t>LU1212701889</t>
  </si>
  <si>
    <t>FF - Emerging Asia Fund A-ACC-US</t>
  </si>
  <si>
    <t>LU0329678337</t>
  </si>
  <si>
    <t>FF - Europe Equity ESG Fund A-ACC-CZK (hedged)</t>
  </si>
  <si>
    <t>FF - Global Defensive Equity Fund A-ACC-USD</t>
  </si>
  <si>
    <t>FF - Global Dividend Plus Fund A-ACC-USD</t>
  </si>
  <si>
    <t>FF – Asia Equity ESG Fund A-ACC-EUR</t>
  </si>
  <si>
    <t>Goldman Sachs Global Environmental Transition Equity - X Cap USD</t>
  </si>
  <si>
    <t>AMUNDI FUNDS - Global Multi-Asset Conservative</t>
  </si>
  <si>
    <t>LU3129351048</t>
  </si>
  <si>
    <t>Rockaway Blockchain otevřený podílový fond - A</t>
  </si>
  <si>
    <t>Rockaway Ventures Fund SICAV a.s., podfond I, investiční akcie A</t>
  </si>
  <si>
    <t>Rockaway Blockchain II otevřený podílový fond, podílové listy třídy A</t>
  </si>
  <si>
    <t>J&amp;T Wine Fund otevřený podílový fond, Investiční třída A</t>
  </si>
  <si>
    <t>J&amp;T Wine Fund otevřený podílový fond, podílové listy třídy B</t>
  </si>
  <si>
    <t>Rohlik Growth SICAV, a.s.- IA A CZK</t>
  </si>
  <si>
    <t>Rohlik Growth SICAV, a.s.- IA A EUR</t>
  </si>
  <si>
    <t>Rohlik Growth SICAV, a.s.- IA Instl EUR</t>
  </si>
  <si>
    <t>J&amp;T Ventures III SICAV a.s. - A</t>
  </si>
  <si>
    <t>Mezzanine Capital Fund SICAV a.s., podfond Loan, investiční akcie A</t>
  </si>
  <si>
    <t>Mezzanine Capital Fund SICAV a.s., podfond Loan, investiční akcie B</t>
  </si>
  <si>
    <t>MINT I. rezidenční podfond SICAV</t>
  </si>
  <si>
    <t>PORTIVA FONDY SICAV a.s., PORTIVA FONDY, WATT &amp; YIELD podfond – investiční akcie, třída A</t>
  </si>
  <si>
    <t>CASPYAN FUND SICAV a.s., Podfond RE/MIX, investiční akcie třídy A</t>
  </si>
  <si>
    <t>CASPYAN FUND SICAV a.s., Podfond RE/MIX, investiční akcie třídy B</t>
  </si>
  <si>
    <t>První podfond, Potysz health, investiční fond s proměnným základním kapitálem, a.s., investiční akcie třídy A10</t>
  </si>
  <si>
    <t>DIAGRAM IRQ Funds SICAV a.s. - A</t>
  </si>
  <si>
    <t>CZ0008476447</t>
  </si>
  <si>
    <t>CZ0008048311</t>
  </si>
  <si>
    <t>CZ0008477304</t>
  </si>
  <si>
    <t>CZ0008477536</t>
  </si>
  <si>
    <t>CZ0008477544</t>
  </si>
  <si>
    <t>CZ0008045507</t>
  </si>
  <si>
    <t>CZ0008045499</t>
  </si>
  <si>
    <t>CZ1005201044</t>
  </si>
  <si>
    <t>CZ1005201051</t>
  </si>
  <si>
    <t>CZ0008053816</t>
  </si>
  <si>
    <t>CZ0008053824</t>
  </si>
  <si>
    <t>CZ0008053873</t>
  </si>
  <si>
    <t>CZ0008053535</t>
  </si>
  <si>
    <t>CZ0008050838</t>
  </si>
  <si>
    <t>CZ0008051398</t>
  </si>
  <si>
    <t>CZ0008045044</t>
  </si>
  <si>
    <t xml:space="preserve">CZ0008044526 </t>
  </si>
  <si>
    <t>CZ0008052826</t>
  </si>
  <si>
    <t>CZ0008052834</t>
  </si>
  <si>
    <t>CZ0008053501</t>
  </si>
  <si>
    <t>CZ0008045655</t>
  </si>
  <si>
    <t>10 let</t>
  </si>
  <si>
    <t xml:space="preserve">Při iniciaci odkupu ze strany investora činí výstupní poplatek 80 % z hodnoty odkupu v případě iniciace do 31. 12. 2027, 40 % z hodnoty odkupu v případě iniciace do 31. 12. 2030 a 10 % z hodnoty odkupu v případě iniciace do 31. 12. 2032. V jiných případech není výstupní poplatek stanoven. </t>
  </si>
  <si>
    <t>AMISTA investiční společnost, a.s.</t>
  </si>
  <si>
    <t>9 let</t>
  </si>
  <si>
    <t>Výstupní poplatek činí 40 % z hodnoty odkupovaných cenných papírů po dobu 9 let od vzniku Fondu, následně 0 %.</t>
  </si>
  <si>
    <t xml:space="preserve">12 měsíců od úpisu cenného papíru se investiční akcie neodkupují, následně činí výstupní poplatek 25 % z hodnoty odkupu, pokud držel investor příslušné akcie 13 až 24 měsíců, 15 % pokud 25 až 36 měsíců, 5 % pokud 37 až 48 měsíců a 0 % pokud po dobu delší než 48 měsíců. </t>
  </si>
  <si>
    <t>25 % z hodnoty odkupu, pokud držel investor příslušné investiční akcie po dobu kratší než 3 roky
0 % z hodnoty odkupu, pokud držel investor příslušné investiční akcie po dobu delší než 3 roky</t>
  </si>
  <si>
    <t>15 % hodnoty investice, pokud budete držet investiční akcie méně než 3 roky</t>
  </si>
  <si>
    <t xml:space="preserve">Výstupní poplatek činí max. 50 % z hodnoty odkupu, pokud byly akcie drženy méně než jeden rok, max. 40 % pokud 1 až 2 roky, max. 30 % pokud 2 až 3 roky, max. 20 % pokud 3 až 5 let a 0 % pokud déle než 5 let. </t>
  </si>
  <si>
    <t>Kombinace ochrana i růst</t>
  </si>
  <si>
    <t xml:space="preserve">Až 5 % Vaší investice, než Vám bude vyplacena. Konkrétní výše stanovována na https://www.mintrezidencnifond.cz/ </t>
  </si>
  <si>
    <t>Dle stáří fondu, od 0 % - 90 %; 10 a více led od vzniku Fondu 0,00 Kč (viz Prospekt)</t>
  </si>
  <si>
    <t>Dle stáří fondu, do pěti (5) let se investiční akcie neodkupují; následně od 0 % - 35 %; 10 a více led od vzniku Fondu 0,00 Kč (viz Prospekt)</t>
  </si>
  <si>
    <t xml:space="preserve">25 % z hodnoty odkupovaných Cenných papírů, pokud je doba mezi časovým okamžikem vzniku Podfondu a časovým okamžikem podání žádosti o odkup delší než 36 kalendářních měsíců a zároveň kratší než 60 kalendářních měsíců; 0 % v ostatních případech. </t>
  </si>
  <si>
    <t>Výstupní poplatek je určen podle doby, která uplynula od nabytí investičních akcií (do této doby se započítává i držení investice v předchozí správě dle odst. 1.6 Statutu); od 0 % do 35 %.</t>
  </si>
  <si>
    <t>Dle doby držení; kratší než 2 roky = 10%
delší než 2 roky a kratší jak 3 roky = 5 %
Delší jak 3 roky = 0 %</t>
  </si>
  <si>
    <t>TMR Fond SICAV a.s. IA CZK</t>
  </si>
  <si>
    <t>TMR Fond SICAV a.s. IA EUR</t>
  </si>
  <si>
    <t>J&amp;T Digital Shield SICAV a.s. IAA CZK</t>
  </si>
  <si>
    <t>J&amp;T Digital Shield SICAV a.s. IAA EUR</t>
  </si>
  <si>
    <t>AMUNDI FUNDS EUROPE EQUITY INCOME SELECT - A2 CZK Hgd SATI (D)</t>
  </si>
  <si>
    <t>AMUNDI FUNDS EUROPE EQUITY INCOME SELECT - A2 CZK Hgd ©</t>
  </si>
  <si>
    <t>AMUNDI FUNDS GLOBAL EQUITY INCOME SELECT - A2 CZK Hgd QTI (D)</t>
  </si>
  <si>
    <t>AMUNDI FUNDS GLOBAL EQUITY INCOME SELECT - A2 USD ©</t>
  </si>
  <si>
    <t>AMUNDI FUNDS GLOBAL EQUITY - A USD ©</t>
  </si>
  <si>
    <t>Amundi Core MSCI Europe AE Acc</t>
  </si>
  <si>
    <t>Amundi MSCI North America ESG Broad Transition AHK Acc</t>
  </si>
  <si>
    <t>Amundi MSCI North America ESG Broad Transition AU Acc</t>
  </si>
  <si>
    <t>FF - Global High Yield Fund Svet. dluhopisu s vysokym vynosem A-ACC-CZK (hedged)</t>
  </si>
  <si>
    <t>Goldman Sachs  Eurozone Equity Income -X</t>
  </si>
  <si>
    <t>Goldman Sachs Emerging Markets Equity Income-X Cap CZK (hedged i)</t>
  </si>
  <si>
    <t>Goldman Sachs European Equity-X Cap CZK (hedged i)</t>
  </si>
  <si>
    <t>Goldman Sachs Patrimonial Aggressive-X Cap CZK (hedged i)</t>
  </si>
  <si>
    <t>Goldman Sachs US Enhanced CORE Equity-X Cap USD</t>
  </si>
  <si>
    <t>Goldman Sachs US Enhanced CORE Equity-X Cap CZK (hedged i)</t>
  </si>
  <si>
    <t>Goldman Sachs Japan Equity-X CZK Hedged</t>
  </si>
  <si>
    <t>AMUNDI FUNDS GLOBAL EQUITY - A CZK Hgd ©</t>
  </si>
  <si>
    <t>FTIF-Franklin Alternative Strategies Fund-A(acc)CZK-H1</t>
  </si>
  <si>
    <t>FTIF-Templeton BIC Fund-A(acc)EUR</t>
  </si>
  <si>
    <t>FTIF-Templeton Global Focus Fund-A(acc)USD</t>
  </si>
  <si>
    <t>FTIF-Templeton Global Value and Income Fund-A(acc)USD</t>
  </si>
  <si>
    <t>FTIF-Templeton Japan Fund-A(acc)EUR</t>
  </si>
  <si>
    <t>Allianz Global Artificial Intelligence - AT (H2-CZK)</t>
  </si>
  <si>
    <t>LU1641601064</t>
  </si>
  <si>
    <t>Allianz Global Investors GmbH</t>
  </si>
  <si>
    <t xml:space="preserve">Allianz Global Diversified Credit AT (USD) </t>
  </si>
  <si>
    <t>LU1480268744</t>
  </si>
  <si>
    <t xml:space="preserve">Allianz Japan Equity - AT (H-USD) </t>
  </si>
  <si>
    <t>LU1000922390</t>
  </si>
  <si>
    <t>Allianz US Short Duration High Income Bond - AT (H2-EUR)</t>
  </si>
  <si>
    <t>LU1363153823</t>
  </si>
  <si>
    <t>Allianz European Equity Dividend - A (H2-CZK)</t>
  </si>
  <si>
    <t>LU1269085392</t>
  </si>
  <si>
    <t xml:space="preserve">Allianz German Equity - AT EUR </t>
  </si>
  <si>
    <t>LU0840617350</t>
  </si>
  <si>
    <t>Allianz Dynamic Multi Asset Strategy 50 - AT (H2-CZK)</t>
  </si>
  <si>
    <t>LU1867686047</t>
  </si>
  <si>
    <t xml:space="preserve">Allianz Europe Equity Growth Select - AT (H2-CZK) </t>
  </si>
  <si>
    <t>LU1288334391</t>
  </si>
  <si>
    <t xml:space="preserve">Allianz Income and Growth - AT USD </t>
  </si>
  <si>
    <t>LU0689472784</t>
  </si>
  <si>
    <t xml:space="preserve">Allianz Global Diversified Credit AT (H2-CZK) </t>
  </si>
  <si>
    <t>LU1597343745</t>
  </si>
  <si>
    <t xml:space="preserve">Allianz Global Artificial Intelligence - AT USD </t>
  </si>
  <si>
    <t>LU1548497426</t>
  </si>
  <si>
    <t xml:space="preserve">Allianz European Equity Dividend - AT (H2-CZK) </t>
  </si>
  <si>
    <t>LU1288334045</t>
  </si>
  <si>
    <t>Allianz Best Styles US Equity - AT EUR</t>
  </si>
  <si>
    <t>LU0933100637</t>
  </si>
  <si>
    <t>Allianz China A-Shares - AT - USD</t>
  </si>
  <si>
    <t>LU1997245177</t>
  </si>
  <si>
    <t>Allianz Global Artificial Intelligence - AT (H2-EUR)</t>
  </si>
  <si>
    <t>LU1548497772</t>
  </si>
  <si>
    <t>CZ0008050309</t>
  </si>
  <si>
    <t xml:space="preserve">Kapacitní poplatek 20 % z investované částky (max. 50 %) Max. 30,00 % (u odkupu do 4 měsíců) Max. 5,00 % (u odkupu do 12 měsíců) Max. 2,00 % (u odkupu do 24 měsíců) </t>
  </si>
  <si>
    <t>J&amp;T INVESTIČNÍ SPOLEČNOST, a.s.</t>
  </si>
  <si>
    <t>CZ0008044864</t>
  </si>
  <si>
    <t>CZ0008050317</t>
  </si>
  <si>
    <t>CZ0008044856</t>
  </si>
  <si>
    <t>ZDR Investments SICAV, ZDR, podfond Real Estate B</t>
  </si>
  <si>
    <t>ZDR Investments SICAV, ZDR, podfond Real Estate C</t>
  </si>
  <si>
    <t>ZDR Investments SICAV, ZDR, podfond Real Estate D</t>
  </si>
  <si>
    <t>ZDR Investments SICAV, ZDR, podfond Real Estate A</t>
  </si>
  <si>
    <t>Wine Management, Wine Management podfond A</t>
  </si>
  <si>
    <t>Wine Management, Wine Management podfond B</t>
  </si>
  <si>
    <t>DIRECT VIGO SICAV, a.s. R</t>
  </si>
  <si>
    <t>DIRECT VIGO SICAV, a.s. D</t>
  </si>
  <si>
    <t>Fond Českého Bydlení SICAV, a.s. RIA</t>
  </si>
  <si>
    <t>Fond Českého Bydlení SICAV, a.s. DIA</t>
  </si>
  <si>
    <t>AMADEUS I. podfond, AMADEUS SICAV a.s. A</t>
  </si>
  <si>
    <t>AMADEUS I. podfond, AMADEUS SICAV a.s. B</t>
  </si>
  <si>
    <t>AMBEAT INVEST SICAV, a.s., AMBEAT II. Realitní podfond A</t>
  </si>
  <si>
    <t>ESG SeniorCARE SICAV, a.s., Podfond ESG SeniorCARE LIVING PIA</t>
  </si>
  <si>
    <t>EXPANDIA Investments SICAV, a.s., Expandia Industrial Parks podfond A</t>
  </si>
  <si>
    <t>Axelor Fund SICAV a.s., Axelor Fund, WATT &amp; BUILD podfond A</t>
  </si>
  <si>
    <t>Axelor Fund SICAV a.s., Axelor Fund, WATT &amp; BUILD podfond E</t>
  </si>
  <si>
    <t>Property Fund for Living SICAV a.s., Property Fund for Living I. Podfond PIA</t>
  </si>
  <si>
    <t>Property Fund for Living SICAV a.s., Property Fund for Living I. Podfond DIA</t>
  </si>
  <si>
    <t>Silverline Real Estate, podfond Silverline Fund SICAV a.s. A</t>
  </si>
  <si>
    <t>Silverline Real Estate, podfond Silverline Fund SICAV a.s. B</t>
  </si>
  <si>
    <t>Silverline Real Estate, podfond Silverline Fund SICAV a.s. E</t>
  </si>
  <si>
    <t>Silverline Real estate, podfond Silverline Fund SICAV a.s. třída I</t>
  </si>
  <si>
    <t>Triatleta fund SICAV, a.s. A</t>
  </si>
  <si>
    <t>Triatleta fund SICAV, a.s. B</t>
  </si>
  <si>
    <t>Triatleta fund SICAV, a.s. C</t>
  </si>
  <si>
    <t>Triatleta fund SICAV, a.s. R</t>
  </si>
  <si>
    <t>Volarik Capital SICAV a.s., Podfond Volarik Capital Mikulov PIA</t>
  </si>
  <si>
    <t>1. fond reverzních hypoték SICAV, a.s. PIA</t>
  </si>
  <si>
    <t>1. fond reverzních hypoték SICAV, a.s. PRIA</t>
  </si>
  <si>
    <t>3M FUND MSI SICAV a.s. A</t>
  </si>
  <si>
    <t>Julius Meinl Investment SICAV a.s., The Julius Sub-Fund 2024 A</t>
  </si>
  <si>
    <t>Julius Meinl Investment SICAV a.s., The Julius Sub-Fund 2024 B</t>
  </si>
  <si>
    <t>AMBEAT EQUITY podfond dlouhodobé péče A</t>
  </si>
  <si>
    <t xml:space="preserve">	Penta Equity podfond C</t>
  </si>
  <si>
    <t xml:space="preserve">	Penta Equity podfond D</t>
  </si>
  <si>
    <t xml:space="preserve">	Penta Equity podfond I</t>
  </si>
  <si>
    <t>Penta Real Estate podfond C</t>
  </si>
  <si>
    <t>Penta Real Estate podfond D</t>
  </si>
  <si>
    <t>Penta Real Estate podfond I</t>
  </si>
  <si>
    <t xml:space="preserve">	KOOR ESG SICAV a.s.; KOOR ESG podfond A</t>
  </si>
  <si>
    <t xml:space="preserve">	KOOR ESG SICAV a.s.; KOOR ESG podfond B</t>
  </si>
  <si>
    <t xml:space="preserve">	KOOR ESG SICAV a.s.; KOOR ESG podfond D</t>
  </si>
  <si>
    <t>Direct PRO SICAV, Direct PRO, podfond A</t>
  </si>
  <si>
    <t>Direct PRO SICAV, Direct PRO, podfond D</t>
  </si>
  <si>
    <t>Direct PRO SICAV, Direct PRO, podfond R</t>
  </si>
  <si>
    <t>Direct PRO SICAV, Direct PRO, podfond E</t>
  </si>
  <si>
    <t>CZ0008042967</t>
  </si>
  <si>
    <t>CZ0008043833</t>
  </si>
  <si>
    <t>CZ0008043841</t>
  </si>
  <si>
    <t>CZ0008042892</t>
  </si>
  <si>
    <t>CZ0008043213</t>
  </si>
  <si>
    <t>CZ0008050606</t>
  </si>
  <si>
    <t>CZ0008043429</t>
  </si>
  <si>
    <t>CZ0008046315</t>
  </si>
  <si>
    <t>CZ0008043262</t>
  </si>
  <si>
    <t>CZ0008052339</t>
  </si>
  <si>
    <t>CZ0008043858</t>
  </si>
  <si>
    <t>CZ0008043866</t>
  </si>
  <si>
    <t>CZ0008045333</t>
  </si>
  <si>
    <t>CZ0008049293</t>
  </si>
  <si>
    <t>CZ0008050473</t>
  </si>
  <si>
    <t>CZ0008051224</t>
  </si>
  <si>
    <t>CZ0008051711</t>
  </si>
  <si>
    <t>CZ0008046448</t>
  </si>
  <si>
    <t>CZ0008052313</t>
  </si>
  <si>
    <t>CZ0008048154</t>
  </si>
  <si>
    <t>CZ0008048162</t>
  </si>
  <si>
    <t>CZ0008051778</t>
  </si>
  <si>
    <t>CZ1005200905</t>
  </si>
  <si>
    <t>CZ0008048956</t>
  </si>
  <si>
    <t>CZ0008048998</t>
  </si>
  <si>
    <t>CZ0008048980</t>
  </si>
  <si>
    <t>CZ0008048964</t>
  </si>
  <si>
    <t>CZ0008049186</t>
  </si>
  <si>
    <t>CZ0008045390</t>
  </si>
  <si>
    <t>CZ0008045374</t>
  </si>
  <si>
    <t>CZ0008048725</t>
  </si>
  <si>
    <t>CZ0008052529</t>
  </si>
  <si>
    <t>CZ0008052537</t>
  </si>
  <si>
    <t>CZ0008053352</t>
  </si>
  <si>
    <t>CZ0008053659</t>
  </si>
  <si>
    <t>CZ0008053642</t>
  </si>
  <si>
    <t>CZ0008053634</t>
  </si>
  <si>
    <t>CZ0008053683</t>
  </si>
  <si>
    <t>CZ0008053691</t>
  </si>
  <si>
    <t>CZ0008053709</t>
  </si>
  <si>
    <t>CZ0008049038</t>
  </si>
  <si>
    <t>CZ0008049004</t>
  </si>
  <si>
    <t>CZ0008049020</t>
  </si>
  <si>
    <t>CZ0008053246</t>
  </si>
  <si>
    <t>CZ1005201663</t>
  </si>
  <si>
    <t>CZ1005201499</t>
  </si>
  <si>
    <t>CZ1005201655</t>
  </si>
  <si>
    <t>Odměna OCP činí 0,6 % p.a. z celkového objemu finančních prostředků klientů OCP ve Fondu (ČOJ), počítáno denně (ČOJ × X % / 365), s měsíčním součtem denních hodnot.</t>
  </si>
  <si>
    <t>Odměna OCP činí 0,1 % p.a. z celkového objemu finančních prostředků klientů OCP ve Fondu (ČOJ), počítáno denně (ČOJ × X % / 365), s měsíčním součtem denních hodnot.</t>
  </si>
  <si>
    <t>Odměna OCP činí 0,4 % p.a. z celkového objemu finančních prostředků klientů OCP ve Fondu (ČOJ), počítáno denně (ČOJ × X % / 365), s měsíčním součtem denních hodnot.</t>
  </si>
  <si>
    <t>Odměna OCP činí 0,5 % p.a. z celkového objemu finančních prostředků klientů OCP ve Fondu (ČOJ), počítáno denně (ČOJ × X % / 365), s měsíčním součtem denních hodnot.</t>
  </si>
  <si>
    <t>Odměna OCP činí 1,35 % p.a. z celkového objemu finančních prostředků klientů OCP ve Fondu (ČOJ), počítáno denně (ČOJ × X % / 365), s měsíčním součtem denních hodnot.</t>
  </si>
  <si>
    <t>Odměna OCP činí 0,65 % p.a. z celkového objemu finančních prostředků klientů OCP ve Fondu (ČOJ), počítáno denně (ČOJ × X % / 365), s měsíčním součtem denních hodnot.</t>
  </si>
  <si>
    <t>Odměna OCP činí 1,05 % p.a. z celkového objemu finančních prostředků klientů OCP ve Fondu (ČOJ), počítáno denně (ČOJ × X % / 365), s měsíčním součtem denních hodnot.</t>
  </si>
  <si>
    <t>Odměna OCP činí 1,2 % p.a. z celkového objemu finančních prostředků klientů OCP ve Fondu (ČOJ), počítáno denně (ČOJ × X % / 365), s měsíčním součtem denních hodnot.</t>
  </si>
  <si>
    <t>Odměna OCP činí 0,8 % p.a. z celkového objemu finančních prostředků klientů OCP ve Fondu (ČOJ), počítáno denně (ČOJ × X % / 365), s měsíčním součtem denních hodnot.</t>
  </si>
  <si>
    <t>Odměna OCP činí 0,2 % p.a. z celkového objemu finančních prostředků klientů OCP ve Fondu (ČOJ), počítáno denně (ČOJ × X % / 365), s měsíčním součtem denních hodnot.</t>
  </si>
  <si>
    <t>Odměna OCP činí 0,9 % p.a. z celkového objemu finančních prostředků klientů OCP ve Fondu (ČOJ), počítáno denně (ČOJ × X % / 365), s měsíčním součtem denních hodnot.</t>
  </si>
  <si>
    <t>Odměna OCP činí 0,7 % p.a. z celkového objemu finančních prostředků klientů OCP ve Fondu (ČOJ), počítáno denně (ČOJ × X % / 365), s měsíčním součtem denních hodnot.</t>
  </si>
  <si>
    <t>CODYA investiční společnost, a.s.</t>
  </si>
  <si>
    <t>Informovaný/Pokročilý</t>
  </si>
  <si>
    <t>FIDUROCK Residential – I1</t>
  </si>
  <si>
    <t>CZ0008052206</t>
  </si>
  <si>
    <t>Při výstupu do 3 let od vydání investiční akcie investorovy, jsou náklady ve výši 40%</t>
  </si>
  <si>
    <t>10 % do 1 roku
8 % do 2 let
6 % do 3 let
4 % do 4 let
2 % do 5 let
0 % po 5 letech od vydání investičních akcií investorovi</t>
  </si>
  <si>
    <t>5 % do 1 roku
3 % do 3 let
0 % po 3 letech od vydání investičních akcií investorovi či při odkupu do výše 50 tis. CZK/rok</t>
  </si>
  <si>
    <t>Poplatky (u podání žádosti do 24 měsíců od úpisu):
a) 10 % hodnoty odkupovaných Investičních akcií (IA) pokud jde o odkup více než 10 % objemu
IA Investora.
b) 5 % hodnoty odkupovaných IA pokud jde o odkup méně než 10 % objemu
IA Investora.
c) 0 % hodnoty odkupovaných IA v případě, že se jedná o Investora, který ke dni
podání žádosti o odkup vlastní IA v hodnotě minimálně 3,5 mil. Kč a jde o odkup
méně než 10 % objemu IA Investora.
Poplatky (u podání žádosti po uplynutí 24 měsíců od úpisu): 0 % z hodnoty odkupovaných Investičních akcií.</t>
  </si>
  <si>
    <t>5 % při odkupu IA do 1 roku od jejich vydání
3 % při odkupu IA do 2 let od jejich vydání
1 % při odkupu IA do 3 let od jejich vydání
0 % při odkupu IA po 3 a více letech od jejich vydání</t>
  </si>
  <si>
    <t>5 % při odkupu IA do 1 roku od jejich vydání
3 % při odkupu IA do 3 let od jejich vydání
0 % při odkupu IA po 3 a více letech od jejich vydání</t>
  </si>
  <si>
    <t>10 % při odkupu investičních akcií do 2 let od jejich vydání investorovi
5 % při odkupu investičních akcií do 3 let od jejich vydání investorovi
0 % při odkupu investičních akcií po 3 a více letech od jejich vydání</t>
  </si>
  <si>
    <t>40 % při odkupu investičních akcií do 3 let od jejich vydání investorovi
0 % při odkupu investičních akcií po 3 a více letech od jejich vydání</t>
  </si>
  <si>
    <t>10 % do 2 let
5 % do 3 let
0 % po 3 letech od vydání investičních akcií investorovi</t>
  </si>
  <si>
    <t>10 % při odkupu investičních akcií do 2 let od jejich vydání investorovi
5 % při odkupu investičních akcií do 3 let od jejich vydání investorovi
0 % při odkupu investičních akcií po 3 a více letech od jejich vydání investorovi</t>
  </si>
  <si>
    <t>0 % při odkupu investičních akcií po 3 a více letech od jejich vydání; předtím nelze odprodat.</t>
  </si>
  <si>
    <t>8 % při odkupu investičních akcií do 1 roku od jejich vydání investorovi
6 % při odkupu investičních akcií do 2 let od jejich vydání investorovi
4 % při odkupu investičních akcií do 3 let od jejich vydání investorovi
0 % při odkupu investičních akcií po 3 a více letech od jejich vydání</t>
  </si>
  <si>
    <t>4 % při odkupu investičních akcií do 1 roku od jejich vydání investorovi;
0 % při odkupu investičních akcií po 1 roce a více od jejich vydání</t>
  </si>
  <si>
    <t>30 % při odkupu investičních akcií do 1 roku od jejich vydání investorovi
20 % při odkupu investičních akcií do 2 let od jejich vydání investorovi
10 % při odkupu investičních akcií do 3 let od jejich vydání investorovi
0 % při odkupu investičních akcií po 3 a více letech od jejich vydání investorovi</t>
  </si>
  <si>
    <t>6 % při podání žádosti o odkup investičních akcií do 12 měsíců od jejich upsání investorem
4 % při podání žádosti o odkup investičních akcií od 12 a do 24 měsíců od jejich upsání investorem
2 % při podání žádosti o odkup investičních akcií od 24 a do 36 měsíců od jejich upsání investorem
0 % při podání žádosti o odkup investičních akcií po 36 měsících od jejich upsání investorem</t>
  </si>
  <si>
    <t>0 % z hodnoty odkupovaných Investičních akcií, pokud Smlouva o úpisu neurčí jinak</t>
  </si>
  <si>
    <t>20 % při odkupu Investičních akcií do 4 let od jejich vydání investorovi;
0 % při odkupu Investičních akcií po 4 a více letech od jejich vydání Investorovi</t>
  </si>
  <si>
    <t>30 % při odkupu investičních akcií do 1 roku od jejich vydání investorovi
20 % při odkupu investičních akcií do 2 let od jejich vydání investorovi
15 % při odkupu investičních akcií do 3 let od jejich vydání investorovi
10 % při odkupu investičních akcií do 4 let od jejich vydání investorovi
5 % při odkupu investičních akcií do 5 let od jejich vydání investorovi
0 % při odkupu investičních akcií po 5 a více letech od jejich vydání investorovi</t>
  </si>
  <si>
    <t>20 % při odkupu investičních akcií do 4 let od jejich vydání investorovi
0 % při odkupu investičních akcií po 4 a více letech od jejich vydání</t>
  </si>
  <si>
    <t>20 % při odkupu investičních akcií do 3 let od jejich vydání investorovi
0 % při odkupu investičních akcií po 3 a více letech od jejich vydání</t>
  </si>
  <si>
    <t>10 % při odkupu investičních akcií do 1 roku od jejich vydání investorovi
7,5 % při odkupu investičních akcií do 2 let od jejich vydání investorovi
5 % při odkupu investičních akcií do 3 let od jejich vydání investorovi
0 % při odkupu investičních akcií po 3 a více letech od jejich vydá</t>
  </si>
  <si>
    <t>30 % při odkupu investičních akcií do 2 let od jejich vydání investorovi
15 % při odkupu investičních akcií do 3 let od jejich vydání investorovi
5 % při odkupu investičních akcií do 4 let od jejich vydání investorovi pokud bude suma odkupu v odpovídajícím roce činit více než 10 %
aktuální hodnoty Investičních akcií Investora, jinak 0 %
0 % při odkupu investičních akcií po 4 a více letech od jejich vydání</t>
  </si>
  <si>
    <t>20 % - do 4 let od vydání investičních akcií
0 % - po 4 letech od vydání investičních akcií</t>
  </si>
  <si>
    <t>Pro vydané investiční akcie od 1.9.2025:
20% při odkupu investičních akcií do 2 let včetně od jejich vydání investorovi
12% při odkupu investičních akcií do 3 let včetně od jejich vydání investorovi
0% při odkupu investičních akcií po 3 a více letech od jejich vydání
Pro vydané investiční akcie do 31.8.2025:
0 % při odkupu investičních akcií po 31.12.2026
(Investor může podat žádost o odkoupení investičních akcií nejdříve po uplynutí lock-up periody, která končí dne 31. 12. 2026).</t>
  </si>
  <si>
    <t>BNP PARIBAS ASSET MANAGEMENT Luxembourg</t>
  </si>
  <si>
    <t>LU2451817873</t>
  </si>
  <si>
    <t>BNP Paribas Nordic Small Classic RH CZK Cap (CZK)</t>
  </si>
  <si>
    <t>LU1342920839</t>
  </si>
  <si>
    <t xml:space="preserve">BNP Paribas Multi-Asset Opportunities- Classic RH EUR -Cap </t>
  </si>
  <si>
    <t>LU3120968469</t>
  </si>
  <si>
    <t>BNP Paribas Multi-Asset Opportunities- Classic RH CZK -Cap</t>
  </si>
  <si>
    <t>LU2739071228</t>
  </si>
  <si>
    <t>BNP PARIBAS HEALTH CARE INNOVATORS - Classic RH CZK Cap.</t>
  </si>
  <si>
    <t>LU2155808491</t>
  </si>
  <si>
    <t>BNP PARIBAS Global Absolute Return Bond - EUR - CC</t>
  </si>
  <si>
    <t>LU0823410997</t>
  </si>
  <si>
    <t>BNP Paribas Funds US Small Cap-Classic Capitalisation</t>
  </si>
  <si>
    <t>LU0823434401</t>
  </si>
  <si>
    <t>BNP Paribas Funds US Growth-Classic H EUR Capitalisation</t>
  </si>
  <si>
    <t>LU0823434310</t>
  </si>
  <si>
    <t>BNP Paribas Funds US Growth-Classic H CZK Capitalisation</t>
  </si>
  <si>
    <t>LU0194438841</t>
  </si>
  <si>
    <t>BNP Paribas Funds Japan Small Cap -Classic H EUR Cap</t>
  </si>
  <si>
    <t>6 let</t>
  </si>
  <si>
    <t>LU0194438338</t>
  </si>
  <si>
    <t>BNP Paribas Funds Japan Equity-Classic H EUR Capitalisation</t>
  </si>
  <si>
    <t>LU0823416762</t>
  </si>
  <si>
    <t>BNP Paribas Funds Health Care Innovators-Classic Cap</t>
  </si>
  <si>
    <t>LU1270636993</t>
  </si>
  <si>
    <t>BNP Paribas Funds Global Megatrends - EUR CC</t>
  </si>
  <si>
    <t>LU0823394852</t>
  </si>
  <si>
    <t>BNP Paribas Funds Global Convertible-Classic RH EUR Cap</t>
  </si>
  <si>
    <t>LU0823394423</t>
  </si>
  <si>
    <t>BNP Paribas Funds Global Convertible-Classic RH CZK Cap</t>
  </si>
  <si>
    <t>LU0177332227</t>
  </si>
  <si>
    <t>BNP Paribas Funds Europe Value-Classic Capitalisation</t>
  </si>
  <si>
    <t>LU0212178916</t>
  </si>
  <si>
    <t>BNP Paribas Funds Europe Small Cap -Classic Capitalisation</t>
  </si>
  <si>
    <t>LU0823404248</t>
  </si>
  <si>
    <t>BNP Paribas Funds Europe Growth-Classic Capitalisation</t>
  </si>
  <si>
    <t>LU1022394156</t>
  </si>
  <si>
    <t>BNP Paribas Funds Euro High Yield Short Duration Bond-CC</t>
  </si>
  <si>
    <t>LU0823401228</t>
  </si>
  <si>
    <t>BNP Paribas Funds Euro Equity-Classic H CZK Capitalisation</t>
  </si>
  <si>
    <t>LU0823401574</t>
  </si>
  <si>
    <t>BNP Paribas Funds Euro Equity-Classic Capitalisation</t>
  </si>
  <si>
    <t>LU1956131848</t>
  </si>
  <si>
    <t>BNP Paribas Funds Emerging Equity-Classic CZK</t>
  </si>
  <si>
    <t>LU0823413587</t>
  </si>
  <si>
    <t>BNP Paribas Funds Emerging Equity-Classic Capitalisation</t>
  </si>
  <si>
    <t>LU0823421333</t>
  </si>
  <si>
    <t>BNP Paribas Funds Disruptive Technology-Classic USD Cap</t>
  </si>
  <si>
    <t>LU1789409619</t>
  </si>
  <si>
    <t>BNP Paribas Funds Disruptive Technology-Classic CZK Cap</t>
  </si>
  <si>
    <t>LU0823421689</t>
  </si>
  <si>
    <t>BNP Paribas Funds Disruptive Technology-Classic Cap</t>
  </si>
  <si>
    <t>LU0823414478</t>
  </si>
  <si>
    <t>BNP Paribas Funds Clean Energy Solutions - Classic USD Cap</t>
  </si>
  <si>
    <t>LU0823414635</t>
  </si>
  <si>
    <t>BNP Paribas Funds Clean Energy Solutions - Classic EUR Cap</t>
  </si>
  <si>
    <t>LU1458425730</t>
  </si>
  <si>
    <t>BNP Paribas Funds Aqua-Classic RH CZK Capitalisation</t>
  </si>
  <si>
    <t>LU1165135440</t>
  </si>
  <si>
    <t>BNP Paribas Funds Aqua-Classic Capitalisation</t>
  </si>
  <si>
    <t>LU1931956954</t>
  </si>
  <si>
    <t>BNP Paribas Flexi I Commodities-Classic H CZK</t>
  </si>
  <si>
    <t>LU1815417172</t>
  </si>
  <si>
    <t>BNP PARIBAS FLEXI I - Structured Credit EUROPE IG - CC EUR</t>
  </si>
  <si>
    <t>LU3051940263</t>
  </si>
  <si>
    <t>BNP Paribas Europe Strategic Autonomy - EUR</t>
  </si>
  <si>
    <t>LU1620156130</t>
  </si>
  <si>
    <t>BNP Paribas Funds Aqua-Classic USD Capitalisation</t>
  </si>
  <si>
    <t>FIDUROCK Retail Parks – PIA B</t>
  </si>
  <si>
    <t>FIDUROCK Retail Parks – PIA A</t>
  </si>
  <si>
    <t>FIDUROCK Retail Parks – PIA C</t>
  </si>
  <si>
    <t>Volarik Capital Mikulov – GIA</t>
  </si>
  <si>
    <t>CZ1005203362</t>
  </si>
  <si>
    <t>CZ1005202968</t>
  </si>
  <si>
    <t>CZ1005202976</t>
  </si>
  <si>
    <t>CZ1005202984</t>
  </si>
  <si>
    <t>Do 3 let : 30%
po třech letech : 0%</t>
  </si>
  <si>
    <t>do 3 let – 30 %
po 3 letech – 0 %.</t>
  </si>
  <si>
    <t>Odměna OCP činí 0,80 % p.a. z celkového objemu finančních prostředků klientů OCP ve Fondu (ČOJ), počítáno denně (ČOJ × X % / 365), s měsíčním součtem denních hodnot.</t>
  </si>
  <si>
    <t>Odměna OCP činí 0,90 % p.a. z celkového objemu finančních prostředků klientů OCP ve Fondu (ČOJ), počítáno denně (ČOJ × X % / 365), s měsíčním součtem denních hodnot.</t>
  </si>
  <si>
    <t>J&amp;T ARCH INVESTMENTS EUR HD (obchodované na regulovaném trhu)</t>
  </si>
  <si>
    <t>J&amp;T ARCH INVESTMENTS EUR H (obchodované na regulovaném trhu)</t>
  </si>
  <si>
    <t>J&amp;T ARCH INVESTMENTS CZK HD (obchodované na regulovaném trhu)</t>
  </si>
  <si>
    <t>J&amp;T ARCH INVESTMENTS CZK H (obchodované na regulovaném trhu)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</si>
</sst>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2" borderId="0" xfId="0" applyFont="1" applyFill="1"/>
    <xf numFmtId="0" fontId="0" fillId="3" borderId="0" xfId="0" applyFill="1"/>
    <xf numFmtId="0" fontId="0" fillId="3" borderId="0" xfId="0" applyFill="1" applyAlignment="1">
      <alignment wrapText="1"/>
    </xf>
    <xf numFmtId="49" fontId="0" fillId="3" borderId="0" xfId="0" applyNumberFormat="1" applyFill="1" applyAlignment="1">
      <alignment wrapText="1"/>
    </xf>
    <xf numFmtId="0" fontId="1" fillId="3" borderId="0" xfId="1" applyFill="1"/>
    <xf numFmtId="0" fontId="3" fillId="3" borderId="0" xfId="0" applyFont="1" applyFill="1"/>
    <xf numFmtId="0" fontId="0" fillId="0" borderId="0" xfId="0" applyAlignment="1">
      <alignment wrapText="1"/>
    </xf>
    <xf numFmtId="164" fontId="0" fillId="3" borderId="0" xfId="0" applyNumberFormat="1" applyFill="1" applyAlignment="1">
      <alignment horizontal="right" wrapText="1"/>
    </xf>
    <xf numFmtId="0" fontId="3" fillId="0" borderId="0" xfId="0" applyFont="1"/>
    <xf numFmtId="49" fontId="0" fillId="0" borderId="0" xfId="0" applyNumberFormat="1" applyAlignment="1">
      <alignment wrapText="1"/>
    </xf>
    <xf numFmtId="164" fontId="0" fillId="0" borderId="0" xfId="0" applyNumberFormat="1" applyAlignment="1">
      <alignment horizontal="right" wrapText="1"/>
    </xf>
    <xf numFmtId="0" fontId="1" fillId="0" borderId="0" xfId="1" applyFill="1" applyAlignment="1">
      <alignment wrapText="1"/>
    </xf>
    <xf numFmtId="10" fontId="0" fillId="0" borderId="0" xfId="2" applyNumberFormat="1" applyFont="1" applyAlignment="1">
      <alignment horizontal="right" wrapText="1"/>
    </xf>
    <xf numFmtId="10" fontId="0" fillId="3" borderId="0" xfId="2" applyNumberFormat="1" applyFont="1" applyFill="1" applyAlignment="1">
      <alignment horizontal="right" wrapText="1"/>
    </xf>
  </cellXfs>
  <cellStyles count="4">
    <cellStyle name="Hypertextový odkaz" xfId="1" builtinId="8"/>
    <cellStyle name="Normal" xfId="3" xr:uid="{A76061BE-66B6-4EF7-AEB6-DE047C6CABA1}"/>
    <cellStyle name="Normální" xfId="0" builtinId="0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7"/>
  <sheetViews>
    <sheetView tabSelected="1" workbookViewId="0">
      <selection activeCell="E9" sqref="E9"/>
    </sheetView>
  </sheetViews>
  <sheetFormatPr defaultRowHeight="15" x14ac:dyDescent="0.25"/>
  <cols>
    <col min="1" max="1" width="65.28515625" bestFit="1" customWidth="1"/>
    <col min="2" max="2" width="13.85546875" bestFit="1" customWidth="1"/>
    <col min="3" max="3" width="24.42578125" customWidth="1"/>
    <col min="4" max="4" width="25.140625" customWidth="1"/>
    <col min="5" max="5" width="26" customWidth="1"/>
    <col min="6" max="6" width="18" customWidth="1"/>
    <col min="7" max="7" width="26.85546875" customWidth="1"/>
    <col min="8" max="8" width="24.85546875" customWidth="1"/>
    <col min="9" max="9" width="46.140625" customWidth="1"/>
    <col min="10" max="10" width="24.85546875" customWidth="1"/>
    <col min="11" max="11" width="33.85546875" customWidth="1"/>
    <col min="12" max="12" width="77.5703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60</v>
      </c>
      <c r="J1" s="1" t="s">
        <v>61</v>
      </c>
      <c r="K1" s="1" t="s">
        <v>8</v>
      </c>
      <c r="L1" s="1" t="s">
        <v>9</v>
      </c>
    </row>
    <row r="2" spans="1:12" ht="45" x14ac:dyDescent="0.25">
      <c r="A2" s="9" t="s">
        <v>406</v>
      </c>
      <c r="B2" t="s">
        <v>407</v>
      </c>
      <c r="C2" s="7" t="s">
        <v>11</v>
      </c>
      <c r="D2" s="7" t="s">
        <v>62</v>
      </c>
      <c r="E2" s="7" t="s">
        <v>25</v>
      </c>
      <c r="F2" s="7" t="s">
        <v>13</v>
      </c>
      <c r="G2" s="7" t="s">
        <v>14</v>
      </c>
      <c r="H2" s="10" t="s">
        <v>96</v>
      </c>
      <c r="I2" s="11">
        <v>0</v>
      </c>
      <c r="J2" s="13">
        <v>9.8399999999999998E-3</v>
      </c>
      <c r="K2" s="7" t="s">
        <v>408</v>
      </c>
      <c r="L2" s="12" t="str">
        <f>HYPERLINK("https://cz.allianzgi.com/-/media/allianzgi/eu/shared/mmpdocuments/kid/priips/2022/12/29/16/53/lu1641601064-kid-priips-cs-cz-11052026.pdf?rev=f107dd950788424caf05606cfc263f78&amp;hash=B02DA17E35CD520180B4B6C9B2F4E406","KID")</f>
        <v>KID</v>
      </c>
    </row>
    <row r="3" spans="1:12" s="2" customFormat="1" ht="45" x14ac:dyDescent="0.25">
      <c r="A3" s="6" t="s">
        <v>409</v>
      </c>
      <c r="B3" s="2" t="s">
        <v>410</v>
      </c>
      <c r="C3" s="3" t="s">
        <v>11</v>
      </c>
      <c r="D3" s="3" t="s">
        <v>62</v>
      </c>
      <c r="E3" s="3" t="s">
        <v>25</v>
      </c>
      <c r="F3" s="3" t="s">
        <v>13</v>
      </c>
      <c r="G3" s="3" t="s">
        <v>14</v>
      </c>
      <c r="H3" s="4" t="s">
        <v>22</v>
      </c>
      <c r="I3" s="8">
        <v>0</v>
      </c>
      <c r="J3" s="14">
        <v>5.2300000000000003E-3</v>
      </c>
      <c r="K3" s="3" t="s">
        <v>408</v>
      </c>
      <c r="L3" s="5" t="str">
        <f>HYPERLINK("https://www.allianzglobalinvestors.de/MDBWS/doc/LU1480268744_KID_PRIIPS_cs_CZ_11052026.pdf?93989f8b6abe2b5d6d2a9e14952c9b0eccba8f85","KID")</f>
        <v>KID</v>
      </c>
    </row>
    <row r="4" spans="1:12" ht="45" x14ac:dyDescent="0.25">
      <c r="A4" s="9" t="s">
        <v>411</v>
      </c>
      <c r="B4" t="s">
        <v>412</v>
      </c>
      <c r="C4" s="7" t="s">
        <v>11</v>
      </c>
      <c r="D4" s="7" t="s">
        <v>62</v>
      </c>
      <c r="E4" s="7" t="s">
        <v>25</v>
      </c>
      <c r="F4" s="7" t="s">
        <v>13</v>
      </c>
      <c r="G4" s="7" t="s">
        <v>14</v>
      </c>
      <c r="H4" s="10" t="s">
        <v>96</v>
      </c>
      <c r="I4" s="11">
        <v>0</v>
      </c>
      <c r="J4" s="13">
        <v>8.6400000000000001E-3</v>
      </c>
      <c r="K4" s="7" t="s">
        <v>408</v>
      </c>
      <c r="L4" s="12" t="str">
        <f>HYPERLINK("https://cz.allianzgi.com/-/media/allianzgi/eu/shared/mmpdocuments/kid/priips/2022/12/29/16/21/lu1000922390-kid-priips-cs-cz-11052026.pdf?rev=d062772fa0154d00add49e87fedae4dc&amp;hash=9171D67B550495FDF41B52FC06C2A728","KID")</f>
        <v>KID</v>
      </c>
    </row>
    <row r="5" spans="1:12" s="2" customFormat="1" ht="45" x14ac:dyDescent="0.25">
      <c r="A5" s="6" t="s">
        <v>413</v>
      </c>
      <c r="B5" s="2" t="s">
        <v>414</v>
      </c>
      <c r="C5" s="3" t="s">
        <v>11</v>
      </c>
      <c r="D5" s="3" t="s">
        <v>62</v>
      </c>
      <c r="E5" s="3" t="s">
        <v>25</v>
      </c>
      <c r="F5" s="3" t="s">
        <v>13</v>
      </c>
      <c r="G5" s="3" t="s">
        <v>14</v>
      </c>
      <c r="H5" s="4" t="s">
        <v>22</v>
      </c>
      <c r="I5" s="8">
        <v>0</v>
      </c>
      <c r="J5" s="14">
        <v>6.1900000000000002E-3</v>
      </c>
      <c r="K5" s="3" t="s">
        <v>408</v>
      </c>
      <c r="L5" s="5" t="str">
        <f>HYPERLINK("https://www.allianzglobalinvestors.de/MDBWS/doc/LU1363153823_KID_PRIIPS_cs_CZ_11052026.pdf?f0ffd7b64050aa00fe30cea9fbb383215d6b762c","KID")</f>
        <v>KID</v>
      </c>
    </row>
    <row r="6" spans="1:12" ht="45" x14ac:dyDescent="0.25">
      <c r="A6" s="9" t="s">
        <v>415</v>
      </c>
      <c r="B6" t="s">
        <v>416</v>
      </c>
      <c r="C6" s="7" t="s">
        <v>11</v>
      </c>
      <c r="D6" s="7" t="s">
        <v>62</v>
      </c>
      <c r="E6" s="7" t="s">
        <v>25</v>
      </c>
      <c r="F6" s="7" t="s">
        <v>13</v>
      </c>
      <c r="G6" s="7" t="s">
        <v>14</v>
      </c>
      <c r="H6" s="10" t="s">
        <v>67</v>
      </c>
      <c r="I6" s="11">
        <v>0</v>
      </c>
      <c r="J6" s="13">
        <v>8.6400000000000001E-3</v>
      </c>
      <c r="K6" s="7" t="s">
        <v>408</v>
      </c>
      <c r="L6" s="12" t="str">
        <f>HYPERLINK("https://cz.allianzgi.com/-/media/allianzgi/eu/shared/mmpdocuments/kid/priips/2022/12/29/16/22/lu1269085392-kid-priips-cs-cz-11052026.pdf?rev=a7eb9321f36e482a9139bce63521bc6c&amp;hash=494328833A9E5D04D1219C79C945C082","KID")</f>
        <v>KID</v>
      </c>
    </row>
    <row r="7" spans="1:12" s="2" customFormat="1" ht="45" x14ac:dyDescent="0.25">
      <c r="A7" s="6" t="s">
        <v>417</v>
      </c>
      <c r="B7" s="2" t="s">
        <v>418</v>
      </c>
      <c r="C7" s="3" t="s">
        <v>11</v>
      </c>
      <c r="D7" s="3" t="s">
        <v>62</v>
      </c>
      <c r="E7" s="3" t="s">
        <v>25</v>
      </c>
      <c r="F7" s="3" t="s">
        <v>13</v>
      </c>
      <c r="G7" s="3" t="s">
        <v>14</v>
      </c>
      <c r="H7" s="4" t="s">
        <v>96</v>
      </c>
      <c r="I7" s="8">
        <v>0</v>
      </c>
      <c r="J7" s="14">
        <v>8.6400000000000001E-3</v>
      </c>
      <c r="K7" s="3" t="s">
        <v>408</v>
      </c>
      <c r="L7" s="5" t="str">
        <f>HYPERLINK("https://cz.allianzgi.com/-/media/allianzgi/eu/shared/mmpdocuments/kid/priips/2022/12/29/16/21/lu0840617350-kid-priips-cs-cz-16042026.pdf?rev=38271558f4ee48f6ad1fb5acaed0a294&amp;hash=AD90C3F1904B76DC625138F739BF0393","KID")</f>
        <v>KID</v>
      </c>
    </row>
    <row r="8" spans="1:12" ht="45" x14ac:dyDescent="0.25">
      <c r="A8" s="9" t="s">
        <v>419</v>
      </c>
      <c r="B8" t="s">
        <v>420</v>
      </c>
      <c r="C8" s="7" t="s">
        <v>11</v>
      </c>
      <c r="D8" s="7" t="s">
        <v>62</v>
      </c>
      <c r="E8" s="7" t="s">
        <v>25</v>
      </c>
      <c r="F8" s="7" t="s">
        <v>13</v>
      </c>
      <c r="G8" s="7" t="s">
        <v>14</v>
      </c>
      <c r="H8" s="10" t="s">
        <v>26</v>
      </c>
      <c r="I8" s="11">
        <v>0</v>
      </c>
      <c r="J8" s="13">
        <v>6.96E-3</v>
      </c>
      <c r="K8" s="7" t="s">
        <v>408</v>
      </c>
      <c r="L8" s="12" t="str">
        <f>HYPERLINK("https://cz.allianzgi.com/-/media/allianzgi/eu/shared/mmpdocuments/kid/priips/2022/12/29/16/53/lu1867686047-kid-priips-cs-cz-16042026.pdf?rev=e98ef3e2017d4b67b9b3e6df4649ec03&amp;hash=3F0F80810735B7F22965B6C61D509F2D","KID")</f>
        <v>KID</v>
      </c>
    </row>
    <row r="9" spans="1:12" s="2" customFormat="1" ht="45" x14ac:dyDescent="0.25">
      <c r="A9" s="6" t="s">
        <v>421</v>
      </c>
      <c r="B9" s="2" t="s">
        <v>422</v>
      </c>
      <c r="C9" s="3" t="s">
        <v>11</v>
      </c>
      <c r="D9" s="3" t="s">
        <v>62</v>
      </c>
      <c r="E9" s="3" t="s">
        <v>25</v>
      </c>
      <c r="F9" s="3" t="s">
        <v>13</v>
      </c>
      <c r="G9" s="3" t="s">
        <v>14</v>
      </c>
      <c r="H9" s="4" t="s">
        <v>96</v>
      </c>
      <c r="I9" s="8">
        <v>0</v>
      </c>
      <c r="J9" s="14">
        <v>8.6400000000000001E-3</v>
      </c>
      <c r="K9" s="3" t="s">
        <v>408</v>
      </c>
      <c r="L9" s="5" t="str">
        <f>HYPERLINK("https://cz.allianzgi.com/-/media/allianzgi/eu/shared/mmpdocuments/kid/priips/2022/12/29/16/22/lu1288334391-kid-priips-cs-cz-11052026.pdf?rev=ee901db1c2364d5fadbf64283811a91d&amp;hash=D10825C000F4DB64AFDC18143EC100CF","KID")</f>
        <v>KID</v>
      </c>
    </row>
    <row r="10" spans="1:12" ht="45" x14ac:dyDescent="0.25">
      <c r="A10" s="9" t="s">
        <v>423</v>
      </c>
      <c r="B10" t="s">
        <v>424</v>
      </c>
      <c r="C10" s="7" t="s">
        <v>11</v>
      </c>
      <c r="D10" s="7" t="s">
        <v>62</v>
      </c>
      <c r="E10" s="7" t="s">
        <v>25</v>
      </c>
      <c r="F10" s="7" t="s">
        <v>13</v>
      </c>
      <c r="G10" s="7" t="s">
        <v>14</v>
      </c>
      <c r="H10" s="10" t="s">
        <v>26</v>
      </c>
      <c r="I10" s="11">
        <v>0</v>
      </c>
      <c r="J10" s="13">
        <v>7.1999999999999998E-3</v>
      </c>
      <c r="K10" s="7" t="s">
        <v>408</v>
      </c>
      <c r="L10" s="12" t="str">
        <f>HYPERLINK("https://www.allianzglobalinvestors.de/MDBWS/doc/LU0689472784_KID_PRIIPS_cs_CZ_11052026.pdf?c3fc6113ab42788804f5abc9fe8a6494987b19b8","KID")</f>
        <v>KID</v>
      </c>
    </row>
    <row r="11" spans="1:12" s="2" customFormat="1" ht="45" x14ac:dyDescent="0.25">
      <c r="A11" s="6" t="s">
        <v>425</v>
      </c>
      <c r="B11" s="2" t="s">
        <v>426</v>
      </c>
      <c r="C11" s="3" t="s">
        <v>11</v>
      </c>
      <c r="D11" s="3" t="s">
        <v>62</v>
      </c>
      <c r="E11" s="3" t="s">
        <v>25</v>
      </c>
      <c r="F11" s="3" t="s">
        <v>13</v>
      </c>
      <c r="G11" s="3" t="s">
        <v>14</v>
      </c>
      <c r="H11" s="4" t="s">
        <v>22</v>
      </c>
      <c r="I11" s="8">
        <v>0</v>
      </c>
      <c r="J11" s="14">
        <v>5.2300000000000003E-3</v>
      </c>
      <c r="K11" s="3" t="s">
        <v>408</v>
      </c>
      <c r="L11" s="5" t="str">
        <f>HYPERLINK("https://cz.allianzgi.com/-/media/allianzgi/eu/shared/mmpdocuments/kid/priips/2022/12/29/16/53/lu1597343745-kid-priips-cs-cz-11052026.pdf?rev=aa4766650b044681829251722eda8620&amp;hash=D5AC99337F71189870802CCE679288F2","KID")</f>
        <v>KID</v>
      </c>
    </row>
    <row r="12" spans="1:12" ht="45" x14ac:dyDescent="0.25">
      <c r="A12" s="9" t="s">
        <v>427</v>
      </c>
      <c r="B12" t="s">
        <v>428</v>
      </c>
      <c r="C12" s="7" t="s">
        <v>11</v>
      </c>
      <c r="D12" s="7" t="s">
        <v>62</v>
      </c>
      <c r="E12" s="7" t="s">
        <v>25</v>
      </c>
      <c r="F12" s="7" t="s">
        <v>13</v>
      </c>
      <c r="G12" s="7" t="s">
        <v>14</v>
      </c>
      <c r="H12" s="10" t="s">
        <v>96</v>
      </c>
      <c r="I12" s="11">
        <v>0</v>
      </c>
      <c r="J12" s="13">
        <v>9.8399999999999998E-3</v>
      </c>
      <c r="K12" s="7" t="s">
        <v>408</v>
      </c>
      <c r="L12" s="12" t="str">
        <f>HYPERLINK("https://cz.allianzgi.com/-/media/allianzgi/eu/shared/mmpdocuments/kid/priips/2022/12/29/16/52/lu1548497426-kid-priips-cs-cz-11052026.pdf?rev=48a44dcf55ca45458d73205b1eee6e34&amp;hash=975A2D226C2D5847521EC813D9B5F444","KID")</f>
        <v>KID</v>
      </c>
    </row>
    <row r="13" spans="1:12" s="2" customFormat="1" ht="45" x14ac:dyDescent="0.25">
      <c r="A13" s="6" t="s">
        <v>429</v>
      </c>
      <c r="B13" s="2" t="s">
        <v>430</v>
      </c>
      <c r="C13" s="3" t="s">
        <v>11</v>
      </c>
      <c r="D13" s="3" t="s">
        <v>62</v>
      </c>
      <c r="E13" s="3" t="s">
        <v>25</v>
      </c>
      <c r="F13" s="3" t="s">
        <v>13</v>
      </c>
      <c r="G13" s="3" t="s">
        <v>14</v>
      </c>
      <c r="H13" s="4" t="s">
        <v>67</v>
      </c>
      <c r="I13" s="8">
        <v>0</v>
      </c>
      <c r="J13" s="14">
        <v>8.6400000000000001E-3</v>
      </c>
      <c r="K13" s="3" t="s">
        <v>408</v>
      </c>
      <c r="L13" s="5" t="str">
        <f>HYPERLINK("https://cz.allianzgi.com/-/media/allianzgi/eu/shared/mmpdocuments/kid/priips/2022/12/29/16/22/lu1288334045-kid-priips-cs-cz-11052026.pdf?rev=3f79abbcd6d9496db1f2cb6fac487d56&amp;hash=8DDAFE581078BE38F2FC7DE2FDAEDF3C","KID")</f>
        <v>KID</v>
      </c>
    </row>
    <row r="14" spans="1:12" ht="45" x14ac:dyDescent="0.25">
      <c r="A14" s="9" t="s">
        <v>431</v>
      </c>
      <c r="B14" t="s">
        <v>432</v>
      </c>
      <c r="C14" s="7" t="s">
        <v>11</v>
      </c>
      <c r="D14" s="7" t="s">
        <v>62</v>
      </c>
      <c r="E14" s="7" t="s">
        <v>25</v>
      </c>
      <c r="F14" s="7" t="s">
        <v>13</v>
      </c>
      <c r="G14" s="7" t="s">
        <v>14</v>
      </c>
      <c r="H14" s="10" t="s">
        <v>96</v>
      </c>
      <c r="I14" s="11">
        <v>0</v>
      </c>
      <c r="J14" s="13">
        <v>6.2399999999999999E-3</v>
      </c>
      <c r="K14" s="7" t="s">
        <v>408</v>
      </c>
      <c r="L14" s="12" t="str">
        <f>HYPERLINK("https://cz.allianzgi.com/-/media/allianzgi/eu/shared/mmpdocuments/kid/priips/2022/12/29/16/21/lu0933100637-kid-priips-cs-cz-11052026.pdf?rev=11e23483a5934ee29280ade1326e332c&amp;hash=7D52D81612BEF0C6BD7BFF4A27994E84","KID")</f>
        <v>KID</v>
      </c>
    </row>
    <row r="15" spans="1:12" s="2" customFormat="1" ht="45" x14ac:dyDescent="0.25">
      <c r="A15" s="6" t="s">
        <v>433</v>
      </c>
      <c r="B15" s="2" t="s">
        <v>434</v>
      </c>
      <c r="C15" s="3" t="s">
        <v>11</v>
      </c>
      <c r="D15" s="3" t="s">
        <v>62</v>
      </c>
      <c r="E15" s="3" t="s">
        <v>25</v>
      </c>
      <c r="F15" s="3" t="s">
        <v>13</v>
      </c>
      <c r="G15" s="3" t="s">
        <v>14</v>
      </c>
      <c r="H15" s="4" t="s">
        <v>67</v>
      </c>
      <c r="I15" s="8">
        <v>0</v>
      </c>
      <c r="J15" s="14">
        <v>1.0800000000000001E-2</v>
      </c>
      <c r="K15" s="3" t="s">
        <v>408</v>
      </c>
      <c r="L15" s="5" t="str">
        <f>HYPERLINK("https://www.allianzglobalinvestors.de/MDBWS/doc/LU1997245177_KID_PRIIPS_cs_CZ_16042026.pdf?df48fbf5654ecd98e33d502fcd52f2931e382cd0","KID")</f>
        <v>KID</v>
      </c>
    </row>
    <row r="16" spans="1:12" ht="45" x14ac:dyDescent="0.25">
      <c r="A16" s="9" t="s">
        <v>435</v>
      </c>
      <c r="B16" t="s">
        <v>436</v>
      </c>
      <c r="C16" s="7" t="s">
        <v>11</v>
      </c>
      <c r="D16" s="7" t="s">
        <v>62</v>
      </c>
      <c r="E16" s="7" t="s">
        <v>25</v>
      </c>
      <c r="F16" s="7" t="s">
        <v>13</v>
      </c>
      <c r="G16" s="7" t="s">
        <v>14</v>
      </c>
      <c r="H16" s="10" t="s">
        <v>96</v>
      </c>
      <c r="I16" s="11">
        <v>0</v>
      </c>
      <c r="J16" s="13">
        <v>9.8399999999999998E-3</v>
      </c>
      <c r="K16" s="7" t="s">
        <v>408</v>
      </c>
      <c r="L16" s="12" t="str">
        <f>HYPERLINK("https://www.allianzglobalinvestors.de/MDBWS/doc/LU1548497772_KID_PRIIPS_cs_CZ_11052026.pdf?52a3ae2bc86931fbb89b5a7d184313ee8f27570c","KID")</f>
        <v>KID</v>
      </c>
    </row>
    <row r="17" spans="1:12" s="2" customFormat="1" ht="45" x14ac:dyDescent="0.25">
      <c r="A17" s="6" t="s">
        <v>337</v>
      </c>
      <c r="B17" s="2" t="s">
        <v>358</v>
      </c>
      <c r="C17" s="3" t="s">
        <v>11</v>
      </c>
      <c r="D17" s="3" t="s">
        <v>62</v>
      </c>
      <c r="E17" s="3" t="s">
        <v>25</v>
      </c>
      <c r="F17" s="3" t="s">
        <v>373</v>
      </c>
      <c r="G17" s="3" t="s">
        <v>14</v>
      </c>
      <c r="H17" s="4" t="s">
        <v>22</v>
      </c>
      <c r="I17" s="8" t="s">
        <v>374</v>
      </c>
      <c r="J17" s="14">
        <v>7.4999999999999997E-3</v>
      </c>
      <c r="K17" s="3" t="s">
        <v>366</v>
      </c>
      <c r="L17" s="5" t="str">
        <f>HYPERLINK("https://www.amista.cz/files/investovani/mint-sdeleni-klicovych-informaci.pdf","KID")</f>
        <v>KID</v>
      </c>
    </row>
    <row r="18" spans="1:12" ht="45" x14ac:dyDescent="0.25">
      <c r="A18" s="9" t="s">
        <v>326</v>
      </c>
      <c r="B18" t="s">
        <v>343</v>
      </c>
      <c r="C18" s="7" t="s">
        <v>11</v>
      </c>
      <c r="D18" s="7" t="s">
        <v>62</v>
      </c>
      <c r="E18" s="7" t="s">
        <v>364</v>
      </c>
      <c r="F18" s="7" t="s">
        <v>373</v>
      </c>
      <c r="G18" s="7" t="s">
        <v>14</v>
      </c>
      <c r="H18" s="10" t="s">
        <v>170</v>
      </c>
      <c r="I18" s="11" t="s">
        <v>375</v>
      </c>
      <c r="J18" s="13">
        <v>8.9999999999999993E-3</v>
      </c>
      <c r="K18" s="7" t="s">
        <v>366</v>
      </c>
      <c r="L18" s="12" t="str">
        <f>HYPERLINK("https://www.amista.cz/files/rocway/sdeleni-klicovych-informaci-rockaway-03-05-2021-1-.pdf","KID")</f>
        <v>KID</v>
      </c>
    </row>
    <row r="19" spans="1:12" s="2" customFormat="1" ht="45" x14ac:dyDescent="0.25">
      <c r="A19" s="6" t="s">
        <v>327</v>
      </c>
      <c r="B19" s="2" t="s">
        <v>344</v>
      </c>
      <c r="C19" s="3" t="s">
        <v>11</v>
      </c>
      <c r="D19" s="3" t="s">
        <v>62</v>
      </c>
      <c r="E19" s="3" t="s">
        <v>25</v>
      </c>
      <c r="F19" s="3" t="s">
        <v>373</v>
      </c>
      <c r="G19" s="3" t="s">
        <v>14</v>
      </c>
      <c r="H19" s="4" t="s">
        <v>170</v>
      </c>
      <c r="I19" s="8" t="s">
        <v>376</v>
      </c>
      <c r="J19" s="14">
        <v>8.9999999999999993E-3</v>
      </c>
      <c r="K19" s="3" t="s">
        <v>366</v>
      </c>
      <c r="L19" s="5" t="str">
        <f>HYPERLINK("https://www.amista.cz/files/rocway/2022-05-10-sdeleni-klicovych-informaci-rockaway-ventures-fund-sicav-podfond-i-iaa.pdf","KID")</f>
        <v>KID</v>
      </c>
    </row>
    <row r="20" spans="1:12" ht="45" x14ac:dyDescent="0.25">
      <c r="A20" s="9" t="s">
        <v>328</v>
      </c>
      <c r="B20" t="s">
        <v>345</v>
      </c>
      <c r="C20" s="7" t="s">
        <v>11</v>
      </c>
      <c r="D20" s="7" t="s">
        <v>62</v>
      </c>
      <c r="E20" s="7" t="s">
        <v>364</v>
      </c>
      <c r="F20" s="7" t="s">
        <v>373</v>
      </c>
      <c r="G20" s="7" t="s">
        <v>14</v>
      </c>
      <c r="H20" s="10" t="s">
        <v>170</v>
      </c>
      <c r="I20" s="11" t="s">
        <v>365</v>
      </c>
      <c r="J20" s="13">
        <v>8.9999999999999993E-3</v>
      </c>
      <c r="K20" s="7" t="s">
        <v>366</v>
      </c>
      <c r="L20" s="12" t="str">
        <f>HYPERLINK("https://www.amista.cz/files/investovani/2025-07-22-priips-trida-a.pdf","KID")</f>
        <v>KID</v>
      </c>
    </row>
    <row r="21" spans="1:12" s="2" customFormat="1" ht="45" x14ac:dyDescent="0.25">
      <c r="A21" s="6" t="s">
        <v>329</v>
      </c>
      <c r="B21" s="2" t="s">
        <v>346</v>
      </c>
      <c r="C21" s="3" t="s">
        <v>11</v>
      </c>
      <c r="D21" s="3" t="s">
        <v>62</v>
      </c>
      <c r="E21" s="3" t="s">
        <v>25</v>
      </c>
      <c r="F21" s="3" t="s">
        <v>373</v>
      </c>
      <c r="G21" s="3" t="s">
        <v>14</v>
      </c>
      <c r="H21" s="4" t="s">
        <v>170</v>
      </c>
      <c r="I21" s="8">
        <v>0</v>
      </c>
      <c r="J21" s="14">
        <v>7.4999999999999997E-3</v>
      </c>
      <c r="K21" s="3" t="s">
        <v>366</v>
      </c>
      <c r="L21" s="5" t="str">
        <f>HYPERLINK("https://www.amista.cz/files/jtwine/2023-05-17-priips-jt-wine-tr.-a.pdf","KID")</f>
        <v>KID</v>
      </c>
    </row>
    <row r="22" spans="1:12" ht="45" x14ac:dyDescent="0.25">
      <c r="A22" s="9" t="s">
        <v>330</v>
      </c>
      <c r="B22" t="s">
        <v>347</v>
      </c>
      <c r="C22" s="7" t="s">
        <v>11</v>
      </c>
      <c r="D22" s="7" t="s">
        <v>62</v>
      </c>
      <c r="E22" s="7" t="s">
        <v>25</v>
      </c>
      <c r="F22" s="7" t="s">
        <v>373</v>
      </c>
      <c r="G22" s="7" t="s">
        <v>14</v>
      </c>
      <c r="H22" s="10" t="s">
        <v>170</v>
      </c>
      <c r="I22" s="11">
        <v>0</v>
      </c>
      <c r="J22" s="13">
        <v>7.4999999999999997E-3</v>
      </c>
      <c r="K22" s="7" t="s">
        <v>366</v>
      </c>
      <c r="L22" s="12" t="str">
        <f>HYPERLINK("https://www.amista.cz/files/jtwine/2023-05-17-priips-jt-wine-tr.-b.pdf","KID")</f>
        <v>KID</v>
      </c>
    </row>
    <row r="23" spans="1:12" s="2" customFormat="1" ht="45" x14ac:dyDescent="0.25">
      <c r="A23" s="6" t="s">
        <v>382</v>
      </c>
      <c r="B23" s="2" t="s">
        <v>348</v>
      </c>
      <c r="C23" s="3" t="s">
        <v>11</v>
      </c>
      <c r="D23" s="3" t="s">
        <v>62</v>
      </c>
      <c r="E23" s="3" t="s">
        <v>83</v>
      </c>
      <c r="F23" s="3" t="s">
        <v>373</v>
      </c>
      <c r="G23" s="3" t="s">
        <v>14</v>
      </c>
      <c r="H23" s="4" t="s">
        <v>96</v>
      </c>
      <c r="I23" s="8" t="s">
        <v>377</v>
      </c>
      <c r="J23" s="14">
        <v>3.13E-3</v>
      </c>
      <c r="K23" s="3" t="s">
        <v>366</v>
      </c>
      <c r="L23" s="5" t="str">
        <f>HYPERLINK("https://www.amista.cz/files/jthdig/2023-11-06-priips-jthdig-iaa-czk.pdf","KID")</f>
        <v>KID</v>
      </c>
    </row>
    <row r="24" spans="1:12" ht="45" x14ac:dyDescent="0.25">
      <c r="A24" s="9" t="s">
        <v>383</v>
      </c>
      <c r="B24" t="s">
        <v>349</v>
      </c>
      <c r="C24" s="7" t="s">
        <v>11</v>
      </c>
      <c r="D24" s="7" t="s">
        <v>62</v>
      </c>
      <c r="E24" s="7" t="s">
        <v>83</v>
      </c>
      <c r="F24" s="7" t="s">
        <v>373</v>
      </c>
      <c r="G24" s="7" t="s">
        <v>14</v>
      </c>
      <c r="H24" s="10" t="s">
        <v>96</v>
      </c>
      <c r="I24" s="11" t="s">
        <v>377</v>
      </c>
      <c r="J24" s="13">
        <v>3.13E-3</v>
      </c>
      <c r="K24" s="7" t="s">
        <v>366</v>
      </c>
      <c r="L24" s="12" t="str">
        <f>HYPERLINK("https://www.amista.cz/files/jthdig/2023-11-06-priips-jthdig-iaa-eur.pdf","KID")</f>
        <v>KID</v>
      </c>
    </row>
    <row r="25" spans="1:12" s="2" customFormat="1" ht="45" x14ac:dyDescent="0.25">
      <c r="A25" s="6" t="s">
        <v>380</v>
      </c>
      <c r="B25" s="2" t="s">
        <v>350</v>
      </c>
      <c r="C25" s="3" t="s">
        <v>11</v>
      </c>
      <c r="D25" s="3" t="s">
        <v>62</v>
      </c>
      <c r="E25" s="3" t="s">
        <v>25</v>
      </c>
      <c r="F25" s="3" t="s">
        <v>373</v>
      </c>
      <c r="G25" s="3" t="s">
        <v>14</v>
      </c>
      <c r="H25" s="4" t="s">
        <v>96</v>
      </c>
      <c r="I25" s="8" t="s">
        <v>378</v>
      </c>
      <c r="J25" s="14">
        <v>7.4999999999999997E-3</v>
      </c>
      <c r="K25" s="3" t="s">
        <v>366</v>
      </c>
      <c r="L25" s="5" t="str">
        <f>HYPERLINK("https://www.amista.cz/files/gopass/2026-04-01-priips-tmr-fond-ia-czk.pdf","KID")</f>
        <v>KID</v>
      </c>
    </row>
    <row r="26" spans="1:12" ht="45" x14ac:dyDescent="0.25">
      <c r="A26" s="9" t="s">
        <v>381</v>
      </c>
      <c r="B26" t="s">
        <v>351</v>
      </c>
      <c r="C26" s="7" t="s">
        <v>11</v>
      </c>
      <c r="D26" s="7" t="s">
        <v>62</v>
      </c>
      <c r="E26" s="7" t="s">
        <v>25</v>
      </c>
      <c r="F26" s="7" t="s">
        <v>373</v>
      </c>
      <c r="G26" s="7" t="s">
        <v>14</v>
      </c>
      <c r="H26" s="10" t="s">
        <v>96</v>
      </c>
      <c r="I26" s="11" t="s">
        <v>378</v>
      </c>
      <c r="J26" s="13">
        <v>7.4999999999999997E-3</v>
      </c>
      <c r="K26" s="7" t="s">
        <v>366</v>
      </c>
      <c r="L26" s="12" t="str">
        <f>HYPERLINK("https://www.amista.cz/files/gopass/2026-04-01-priips-tmr-fond-ia-eur.pdf","KID")</f>
        <v>KID</v>
      </c>
    </row>
    <row r="27" spans="1:12" s="2" customFormat="1" ht="45" x14ac:dyDescent="0.25">
      <c r="A27" s="6" t="s">
        <v>331</v>
      </c>
      <c r="B27" s="2" t="s">
        <v>352</v>
      </c>
      <c r="C27" s="3" t="s">
        <v>11</v>
      </c>
      <c r="D27" s="3" t="s">
        <v>62</v>
      </c>
      <c r="E27" s="3" t="s">
        <v>25</v>
      </c>
      <c r="F27" s="3" t="s">
        <v>373</v>
      </c>
      <c r="G27" s="3" t="s">
        <v>14</v>
      </c>
      <c r="H27" s="4" t="s">
        <v>96</v>
      </c>
      <c r="I27" s="8">
        <v>0</v>
      </c>
      <c r="J27" s="14">
        <v>8.9999999999999993E-3</v>
      </c>
      <c r="K27" s="3" t="s">
        <v>366</v>
      </c>
      <c r="L27" s="5" t="str">
        <f>HYPERLINK("https://www.amista.cz/files/rohlik/rohlik-growth-sicav-a.s.-priips-ia-a-czk.pdf","KID")</f>
        <v>KID</v>
      </c>
    </row>
    <row r="28" spans="1:12" ht="45" x14ac:dyDescent="0.25">
      <c r="A28" s="9" t="s">
        <v>332</v>
      </c>
      <c r="B28" t="s">
        <v>353</v>
      </c>
      <c r="C28" s="7" t="s">
        <v>11</v>
      </c>
      <c r="D28" s="7" t="s">
        <v>62</v>
      </c>
      <c r="E28" s="7" t="s">
        <v>25</v>
      </c>
      <c r="F28" s="7" t="s">
        <v>373</v>
      </c>
      <c r="G28" s="7" t="s">
        <v>14</v>
      </c>
      <c r="H28" s="10" t="s">
        <v>96</v>
      </c>
      <c r="I28" s="11">
        <v>0</v>
      </c>
      <c r="J28" s="13">
        <v>8.9999999999999993E-3</v>
      </c>
      <c r="K28" s="7" t="s">
        <v>366</v>
      </c>
      <c r="L28" s="12" t="str">
        <f>HYPERLINK("https://www.amista.cz/files/rohlik/rohlik-growth-sicav-a.s.-priips-ia-a-eur.pdf","KID")</f>
        <v>KID</v>
      </c>
    </row>
    <row r="29" spans="1:12" s="2" customFormat="1" ht="45" x14ac:dyDescent="0.25">
      <c r="A29" s="6" t="s">
        <v>333</v>
      </c>
      <c r="B29" s="2" t="s">
        <v>354</v>
      </c>
      <c r="C29" s="3" t="s">
        <v>11</v>
      </c>
      <c r="D29" s="3" t="s">
        <v>62</v>
      </c>
      <c r="E29" s="3" t="s">
        <v>25</v>
      </c>
      <c r="F29" s="3" t="s">
        <v>373</v>
      </c>
      <c r="G29" s="3" t="s">
        <v>14</v>
      </c>
      <c r="H29" s="4" t="s">
        <v>96</v>
      </c>
      <c r="I29" s="8">
        <v>0</v>
      </c>
      <c r="J29" s="14">
        <v>4.7999999999999996E-3</v>
      </c>
      <c r="K29" s="3" t="s">
        <v>366</v>
      </c>
      <c r="L29" s="5" t="str">
        <f>HYPERLINK("https://www.amista.cz/files/rohlik/rohlik-growth-sicav-a.s.-priips-ia-insti-eur.pdf","KID")</f>
        <v>KID</v>
      </c>
    </row>
    <row r="30" spans="1:12" ht="45" x14ac:dyDescent="0.25">
      <c r="A30" s="9" t="s">
        <v>334</v>
      </c>
      <c r="B30" t="s">
        <v>355</v>
      </c>
      <c r="C30" s="7" t="s">
        <v>11</v>
      </c>
      <c r="D30" s="7" t="s">
        <v>62</v>
      </c>
      <c r="E30" s="7" t="s">
        <v>367</v>
      </c>
      <c r="F30" s="7" t="s">
        <v>373</v>
      </c>
      <c r="G30" s="7" t="s">
        <v>14</v>
      </c>
      <c r="H30" s="10" t="s">
        <v>96</v>
      </c>
      <c r="I30" s="11" t="s">
        <v>368</v>
      </c>
      <c r="J30" s="13">
        <v>5.0000000000000001E-3</v>
      </c>
      <c r="K30" s="7" t="s">
        <v>366</v>
      </c>
      <c r="L30" s="12" t="str">
        <f>HYPERLINK("https://www.amista.cz/files/jtven3/priips-trida-a.pdf","KID")</f>
        <v>KID</v>
      </c>
    </row>
    <row r="31" spans="1:12" s="2" customFormat="1" ht="45" x14ac:dyDescent="0.25">
      <c r="A31" s="6" t="s">
        <v>335</v>
      </c>
      <c r="B31" s="2" t="s">
        <v>356</v>
      </c>
      <c r="C31" s="3" t="s">
        <v>11</v>
      </c>
      <c r="D31" s="3" t="s">
        <v>62</v>
      </c>
      <c r="E31" s="3" t="s">
        <v>25</v>
      </c>
      <c r="F31" s="3" t="s">
        <v>373</v>
      </c>
      <c r="G31" s="3" t="s">
        <v>14</v>
      </c>
      <c r="H31" s="4" t="s">
        <v>96</v>
      </c>
      <c r="I31" s="8" t="s">
        <v>369</v>
      </c>
      <c r="J31" s="14">
        <v>0.01</v>
      </c>
      <c r="K31" s="3" t="s">
        <v>366</v>
      </c>
      <c r="L31" s="5" t="str">
        <f>HYPERLINK("https://www.amista.cz/files/investovani/2026-06-09-sdeleni-klicovych-informaci-tr.a.pdf","KID")</f>
        <v>KID</v>
      </c>
    </row>
    <row r="32" spans="1:12" ht="45" x14ac:dyDescent="0.25">
      <c r="A32" s="9" t="s">
        <v>336</v>
      </c>
      <c r="B32" t="s">
        <v>357</v>
      </c>
      <c r="C32" s="7" t="s">
        <v>11</v>
      </c>
      <c r="D32" s="7" t="s">
        <v>62</v>
      </c>
      <c r="E32" s="7" t="s">
        <v>25</v>
      </c>
      <c r="F32" s="7" t="s">
        <v>373</v>
      </c>
      <c r="G32" s="7" t="s">
        <v>14</v>
      </c>
      <c r="H32" s="10" t="s">
        <v>96</v>
      </c>
      <c r="I32" s="11" t="s">
        <v>369</v>
      </c>
      <c r="J32" s="13">
        <v>0.01</v>
      </c>
      <c r="K32" s="7" t="s">
        <v>366</v>
      </c>
      <c r="L32" s="12" t="str">
        <f>HYPERLINK("https://www.mcfund.cz/wp-content/uploads/2026/04/2025-09-30-Sdeleni-klicovych-informaci-tr.B.pdf","KID")</f>
        <v>KID</v>
      </c>
    </row>
    <row r="33" spans="1:12" s="2" customFormat="1" ht="45" x14ac:dyDescent="0.25">
      <c r="A33" s="6" t="s">
        <v>338</v>
      </c>
      <c r="B33" s="2" t="s">
        <v>359</v>
      </c>
      <c r="C33" s="3" t="s">
        <v>11</v>
      </c>
      <c r="D33" s="3" t="s">
        <v>62</v>
      </c>
      <c r="E33" s="3" t="s">
        <v>25</v>
      </c>
      <c r="F33" s="3" t="s">
        <v>373</v>
      </c>
      <c r="G33" s="3" t="s">
        <v>14</v>
      </c>
      <c r="H33" s="4" t="s">
        <v>22</v>
      </c>
      <c r="I33" s="8" t="s">
        <v>379</v>
      </c>
      <c r="J33" s="14">
        <v>7.6E-3</v>
      </c>
      <c r="K33" s="3" t="s">
        <v>366</v>
      </c>
      <c r="L33" s="5" t="str">
        <f>HYPERLINK("https://www.amista.cz/files/portiva_podfond/priips-portiva-pod-watt-tr.-a-2022-09-01-1.pdf","KID")</f>
        <v>KID</v>
      </c>
    </row>
    <row r="34" spans="1:12" ht="45" x14ac:dyDescent="0.25">
      <c r="A34" s="9" t="s">
        <v>339</v>
      </c>
      <c r="B34" t="s">
        <v>360</v>
      </c>
      <c r="C34" s="7" t="s">
        <v>11</v>
      </c>
      <c r="D34" s="7" t="s">
        <v>62</v>
      </c>
      <c r="E34" s="7" t="s">
        <v>25</v>
      </c>
      <c r="F34" s="7" t="s">
        <v>373</v>
      </c>
      <c r="G34" s="7" t="s">
        <v>14</v>
      </c>
      <c r="H34" s="10" t="s">
        <v>96</v>
      </c>
      <c r="I34" s="11" t="s">
        <v>370</v>
      </c>
      <c r="J34" s="13">
        <v>7.4999999999999997E-3</v>
      </c>
      <c r="K34" s="7" t="s">
        <v>366</v>
      </c>
      <c r="L34" s="12" t="str">
        <f>HYPERLINK("https://www.amista.cz/files/investovani/2025-12-15-sdeleni-klicovych-informaci-caspya-cremix-trida-a.pdf","KID")</f>
        <v>KID</v>
      </c>
    </row>
    <row r="35" spans="1:12" s="2" customFormat="1" ht="45" x14ac:dyDescent="0.25">
      <c r="A35" s="6" t="s">
        <v>340</v>
      </c>
      <c r="B35" s="2" t="s">
        <v>361</v>
      </c>
      <c r="C35" s="3" t="s">
        <v>11</v>
      </c>
      <c r="D35" s="3" t="s">
        <v>62</v>
      </c>
      <c r="E35" s="3" t="s">
        <v>25</v>
      </c>
      <c r="F35" s="3" t="s">
        <v>373</v>
      </c>
      <c r="G35" s="3" t="s">
        <v>14</v>
      </c>
      <c r="H35" s="4" t="s">
        <v>96</v>
      </c>
      <c r="I35" s="8" t="s">
        <v>370</v>
      </c>
      <c r="J35" s="14">
        <v>6.0000000000000001E-3</v>
      </c>
      <c r="K35" s="3" t="s">
        <v>366</v>
      </c>
      <c r="L35" s="5" t="str">
        <f>HYPERLINK("https://www.amista.cz/files/investovani/2025-12-15-sdeleni-klicovych-informaci-caspya-cremix-trida-b.pdf","KID")</f>
        <v>KID</v>
      </c>
    </row>
    <row r="36" spans="1:12" ht="45" x14ac:dyDescent="0.25">
      <c r="A36" s="9" t="s">
        <v>341</v>
      </c>
      <c r="B36" t="s">
        <v>362</v>
      </c>
      <c r="C36" s="7" t="s">
        <v>11</v>
      </c>
      <c r="D36" s="7" t="s">
        <v>62</v>
      </c>
      <c r="E36" s="7" t="s">
        <v>25</v>
      </c>
      <c r="F36" s="7" t="s">
        <v>373</v>
      </c>
      <c r="G36" s="7" t="s">
        <v>14</v>
      </c>
      <c r="H36" s="10" t="s">
        <v>170</v>
      </c>
      <c r="I36" s="11" t="s">
        <v>371</v>
      </c>
      <c r="J36" s="13">
        <v>0.01</v>
      </c>
      <c r="K36" s="7" t="s">
        <v>366</v>
      </c>
      <c r="L36" s="12" t="str">
        <f>HYPERLINK("https://www.amista.cz/files/potysz_podfond/2024-10-14-priips-potysz-trida-a10-2.pdf","KID")</f>
        <v>KID</v>
      </c>
    </row>
    <row r="37" spans="1:12" s="2" customFormat="1" ht="45" x14ac:dyDescent="0.25">
      <c r="A37" s="6" t="s">
        <v>342</v>
      </c>
      <c r="B37" s="2" t="s">
        <v>363</v>
      </c>
      <c r="C37" s="3" t="s">
        <v>11</v>
      </c>
      <c r="D37" s="3" t="s">
        <v>62</v>
      </c>
      <c r="E37" s="3" t="s">
        <v>25</v>
      </c>
      <c r="F37" s="3" t="s">
        <v>373</v>
      </c>
      <c r="G37" s="3" t="s">
        <v>14</v>
      </c>
      <c r="H37" s="4" t="s">
        <v>96</v>
      </c>
      <c r="I37" s="8" t="s">
        <v>372</v>
      </c>
      <c r="J37" s="14">
        <v>7.4999999999999997E-3</v>
      </c>
      <c r="K37" s="3" t="s">
        <v>366</v>
      </c>
      <c r="L37" s="5" t="str">
        <f>HYPERLINK("https://www.amista.cz/files/investovani/2026-02-06-sdeleni-klicovych-informaci-irqres-a.pdf","KID")</f>
        <v>KID</v>
      </c>
    </row>
    <row r="38" spans="1:12" ht="45" x14ac:dyDescent="0.25">
      <c r="A38" s="9" t="s">
        <v>230</v>
      </c>
      <c r="B38" t="s">
        <v>231</v>
      </c>
      <c r="C38" s="7" t="s">
        <v>11</v>
      </c>
      <c r="D38" s="7" t="s">
        <v>62</v>
      </c>
      <c r="E38" s="7" t="s">
        <v>25</v>
      </c>
      <c r="F38" s="7" t="s">
        <v>76</v>
      </c>
      <c r="G38" s="7" t="s">
        <v>14</v>
      </c>
      <c r="H38" s="10" t="s">
        <v>96</v>
      </c>
      <c r="I38" s="11">
        <v>0</v>
      </c>
      <c r="J38" s="13">
        <v>0</v>
      </c>
      <c r="K38" s="7" t="s">
        <v>260</v>
      </c>
      <c r="L38" s="12" t="str">
        <f>HYPERLINK("https://www.amundi.cz/dl/doc/kid-priips/IE00BZ2YQN98/CES/CZE/20251016?inline","KID")</f>
        <v>KID</v>
      </c>
    </row>
    <row r="39" spans="1:12" s="2" customFormat="1" ht="45" x14ac:dyDescent="0.25">
      <c r="A39" s="6" t="s">
        <v>92</v>
      </c>
      <c r="B39" s="2" t="s">
        <v>93</v>
      </c>
      <c r="C39" s="3" t="s">
        <v>11</v>
      </c>
      <c r="D39" s="3" t="s">
        <v>62</v>
      </c>
      <c r="E39" s="3" t="s">
        <v>25</v>
      </c>
      <c r="F39" s="3" t="s">
        <v>76</v>
      </c>
      <c r="G39" s="3" t="s">
        <v>14</v>
      </c>
      <c r="H39" s="4" t="s">
        <v>67</v>
      </c>
      <c r="I39" s="8">
        <v>0</v>
      </c>
      <c r="J39" s="14">
        <v>6.0000000000000001E-3</v>
      </c>
      <c r="K39" s="3" t="s">
        <v>94</v>
      </c>
      <c r="L39" s="5" t="str">
        <f>HYPERLINK("https://www.amundi-kb.cz/storage/app/media/KIID/KIID_LU1883872258.pdf","KID")</f>
        <v>KID</v>
      </c>
    </row>
    <row r="40" spans="1:12" ht="45" x14ac:dyDescent="0.25">
      <c r="A40" s="9" t="s">
        <v>400</v>
      </c>
      <c r="B40" t="s">
        <v>95</v>
      </c>
      <c r="C40" s="7" t="s">
        <v>11</v>
      </c>
      <c r="D40" s="7" t="s">
        <v>62</v>
      </c>
      <c r="E40" s="7" t="s">
        <v>25</v>
      </c>
      <c r="F40" s="7" t="s">
        <v>76</v>
      </c>
      <c r="G40" s="7" t="s">
        <v>14</v>
      </c>
      <c r="H40" s="10" t="s">
        <v>96</v>
      </c>
      <c r="I40" s="11">
        <v>0</v>
      </c>
      <c r="J40" s="13">
        <v>7.92E-3</v>
      </c>
      <c r="K40" s="7" t="s">
        <v>94</v>
      </c>
      <c r="L40" s="12" t="str">
        <f>HYPERLINK("https://www.amundi.cz/dl/doc/kid-priips/LU1894680591/CES/CZE/20250904?inline","KID")</f>
        <v>KID</v>
      </c>
    </row>
    <row r="41" spans="1:12" s="2" customFormat="1" ht="45" x14ac:dyDescent="0.25">
      <c r="A41" s="6" t="s">
        <v>124</v>
      </c>
      <c r="B41" s="2" t="s">
        <v>125</v>
      </c>
      <c r="C41" s="3" t="s">
        <v>11</v>
      </c>
      <c r="D41" s="3" t="s">
        <v>62</v>
      </c>
      <c r="E41" s="3" t="s">
        <v>25</v>
      </c>
      <c r="F41" s="3" t="s">
        <v>76</v>
      </c>
      <c r="G41" s="3" t="s">
        <v>14</v>
      </c>
      <c r="H41" s="4" t="s">
        <v>67</v>
      </c>
      <c r="I41" s="8">
        <v>0</v>
      </c>
      <c r="J41" s="14">
        <v>7.1999999999999998E-3</v>
      </c>
      <c r="K41" s="3" t="s">
        <v>94</v>
      </c>
      <c r="L41" s="5" t="str">
        <f>HYPERLINK("https://www.amundi.cz/dl/doc/kid-priips/LU1883868736/CES/CZE/20250701?inline","KID")</f>
        <v>KID</v>
      </c>
    </row>
    <row r="42" spans="1:12" ht="45" x14ac:dyDescent="0.25">
      <c r="A42" s="9" t="s">
        <v>126</v>
      </c>
      <c r="B42" t="s">
        <v>127</v>
      </c>
      <c r="C42" s="7" t="s">
        <v>11</v>
      </c>
      <c r="D42" s="7" t="s">
        <v>62</v>
      </c>
      <c r="E42" s="7" t="s">
        <v>128</v>
      </c>
      <c r="F42" s="7" t="s">
        <v>76</v>
      </c>
      <c r="G42" s="7" t="s">
        <v>14</v>
      </c>
      <c r="H42" s="10" t="s">
        <v>26</v>
      </c>
      <c r="I42" s="11">
        <v>0</v>
      </c>
      <c r="J42" s="13">
        <v>5.7600000000000004E-3</v>
      </c>
      <c r="K42" s="7" t="s">
        <v>94</v>
      </c>
      <c r="L42" s="12" t="str">
        <f>HYPERLINK("https://www.amundi-kb.cz/storage/app/media/KIID/KIID_LU1121646696.pdf","KID")</f>
        <v>KID</v>
      </c>
    </row>
    <row r="43" spans="1:12" s="2" customFormat="1" ht="45" x14ac:dyDescent="0.25">
      <c r="A43" s="6" t="s">
        <v>129</v>
      </c>
      <c r="B43" s="2" t="s">
        <v>130</v>
      </c>
      <c r="C43" s="3" t="s">
        <v>11</v>
      </c>
      <c r="D43" s="3" t="s">
        <v>62</v>
      </c>
      <c r="E43" s="3" t="s">
        <v>25</v>
      </c>
      <c r="F43" s="3" t="s">
        <v>76</v>
      </c>
      <c r="G43" s="3" t="s">
        <v>14</v>
      </c>
      <c r="H43" s="4" t="s">
        <v>26</v>
      </c>
      <c r="I43" s="8">
        <v>0</v>
      </c>
      <c r="J43" s="14">
        <v>8.1600000000000006E-3</v>
      </c>
      <c r="K43" s="3" t="s">
        <v>94</v>
      </c>
      <c r="L43" s="5" t="str">
        <f>HYPERLINK("https://www.amundi.cz/dl/doc/kid-priips/LU2716742528/CES/CZE/20250905?inline","KID")</f>
        <v>KID</v>
      </c>
    </row>
    <row r="44" spans="1:12" ht="45" x14ac:dyDescent="0.25">
      <c r="A44" s="9" t="s">
        <v>140</v>
      </c>
      <c r="B44" t="s">
        <v>141</v>
      </c>
      <c r="C44" s="7" t="s">
        <v>11</v>
      </c>
      <c r="D44" s="7" t="s">
        <v>62</v>
      </c>
      <c r="E44" s="7" t="s">
        <v>25</v>
      </c>
      <c r="F44" s="7" t="s">
        <v>76</v>
      </c>
      <c r="G44" s="7" t="s">
        <v>14</v>
      </c>
      <c r="H44" s="10" t="s">
        <v>96</v>
      </c>
      <c r="I44" s="11">
        <v>0</v>
      </c>
      <c r="J44" s="13">
        <v>7.1999999999999998E-3</v>
      </c>
      <c r="K44" s="7" t="s">
        <v>94</v>
      </c>
      <c r="L44" s="12" t="str">
        <f>HYPERLINK("https://www.amundi.cz/dl/doc/kid-priips/LU1883854199/CES/CZE/20250905?inline","KID")</f>
        <v>KID</v>
      </c>
    </row>
    <row r="45" spans="1:12" s="2" customFormat="1" ht="45" x14ac:dyDescent="0.25">
      <c r="A45" s="6" t="s">
        <v>142</v>
      </c>
      <c r="B45" s="2" t="s">
        <v>143</v>
      </c>
      <c r="C45" s="3" t="s">
        <v>11</v>
      </c>
      <c r="D45" s="3" t="s">
        <v>62</v>
      </c>
      <c r="E45" s="3" t="s">
        <v>25</v>
      </c>
      <c r="F45" s="3" t="s">
        <v>76</v>
      </c>
      <c r="G45" s="3" t="s">
        <v>14</v>
      </c>
      <c r="H45" s="4" t="s">
        <v>96</v>
      </c>
      <c r="I45" s="8">
        <v>0</v>
      </c>
      <c r="J45" s="14">
        <v>6.0000000000000001E-3</v>
      </c>
      <c r="K45" s="3" t="s">
        <v>94</v>
      </c>
      <c r="L45" s="5" t="str">
        <f>HYPERLINK("https://www.amundi.com/dl/doc/kid-priips/LU1883872332/ENG/CZE/20250905?inline","KID")</f>
        <v>KID</v>
      </c>
    </row>
    <row r="46" spans="1:12" ht="45" x14ac:dyDescent="0.25">
      <c r="A46" s="9" t="s">
        <v>160</v>
      </c>
      <c r="B46" t="s">
        <v>161</v>
      </c>
      <c r="C46" s="7" t="s">
        <v>11</v>
      </c>
      <c r="D46" s="7" t="s">
        <v>62</v>
      </c>
      <c r="E46" s="7" t="s">
        <v>25</v>
      </c>
      <c r="F46" s="7" t="s">
        <v>76</v>
      </c>
      <c r="G46" s="7" t="s">
        <v>14</v>
      </c>
      <c r="H46" s="10" t="s">
        <v>67</v>
      </c>
      <c r="I46" s="11">
        <v>0</v>
      </c>
      <c r="J46" s="13">
        <v>6.0000000000000001E-3</v>
      </c>
      <c r="K46" s="7" t="s">
        <v>94</v>
      </c>
      <c r="L46" s="12" t="str">
        <f>HYPERLINK("https://www.amundi-kb.cz/storage/app/media/KIID/KIID_LU1883872415.pdf","KID")</f>
        <v>KID</v>
      </c>
    </row>
    <row r="47" spans="1:12" s="2" customFormat="1" ht="45" x14ac:dyDescent="0.25">
      <c r="A47" s="6" t="s">
        <v>162</v>
      </c>
      <c r="B47" s="2" t="s">
        <v>163</v>
      </c>
      <c r="C47" s="3" t="s">
        <v>11</v>
      </c>
      <c r="D47" s="3" t="s">
        <v>62</v>
      </c>
      <c r="E47" s="3" t="s">
        <v>21</v>
      </c>
      <c r="F47" s="3" t="s">
        <v>13</v>
      </c>
      <c r="G47" s="3" t="s">
        <v>14</v>
      </c>
      <c r="H47" s="4" t="s">
        <v>18</v>
      </c>
      <c r="I47" s="8">
        <v>0</v>
      </c>
      <c r="J47" s="14">
        <v>2.4000000000000002E-3</v>
      </c>
      <c r="K47" s="3" t="s">
        <v>94</v>
      </c>
      <c r="L47" s="5" t="str">
        <f>HYPERLINK("https://www.amundi.cz/dl/doc/kid-priips/LU1882441907/CES/CZE/20241206?inline","KID")</f>
        <v>KID</v>
      </c>
    </row>
    <row r="48" spans="1:12" ht="45" x14ac:dyDescent="0.25">
      <c r="A48" s="9" t="s">
        <v>164</v>
      </c>
      <c r="B48" t="s">
        <v>165</v>
      </c>
      <c r="C48" s="7" t="s">
        <v>11</v>
      </c>
      <c r="D48" s="7" t="s">
        <v>62</v>
      </c>
      <c r="E48" s="7" t="s">
        <v>25</v>
      </c>
      <c r="F48" s="7" t="s">
        <v>76</v>
      </c>
      <c r="G48" s="7" t="s">
        <v>14</v>
      </c>
      <c r="H48" s="10" t="s">
        <v>67</v>
      </c>
      <c r="I48" s="11">
        <v>0</v>
      </c>
      <c r="J48" s="13">
        <v>7.1999999999999998E-3</v>
      </c>
      <c r="K48" s="7" t="s">
        <v>94</v>
      </c>
      <c r="L48" s="12" t="str">
        <f>HYPERLINK("https://www.amundi.cz/produkty/dl/doc/kid-priips/LU1883854355/CES/CZE","KID")</f>
        <v>KID</v>
      </c>
    </row>
    <row r="49" spans="1:12" s="2" customFormat="1" ht="45" x14ac:dyDescent="0.25">
      <c r="A49" s="6" t="s">
        <v>182</v>
      </c>
      <c r="B49" s="2" t="s">
        <v>183</v>
      </c>
      <c r="C49" s="3" t="s">
        <v>11</v>
      </c>
      <c r="D49" s="3" t="s">
        <v>62</v>
      </c>
      <c r="E49" s="3" t="s">
        <v>25</v>
      </c>
      <c r="F49" s="3" t="s">
        <v>76</v>
      </c>
      <c r="G49" s="3" t="s">
        <v>14</v>
      </c>
      <c r="H49" s="4" t="s">
        <v>26</v>
      </c>
      <c r="I49" s="8">
        <v>0</v>
      </c>
      <c r="J49" s="14">
        <v>4.7999999999999996E-3</v>
      </c>
      <c r="K49" s="3" t="s">
        <v>94</v>
      </c>
      <c r="L49" s="5" t="str">
        <f>HYPERLINK("https://www.amundi.cz/produkty/dl/doc/kid-priips/LU1095742109/CES/CZE","KID")</f>
        <v>KID</v>
      </c>
    </row>
    <row r="50" spans="1:12" ht="45" x14ac:dyDescent="0.25">
      <c r="A50" s="9" t="s">
        <v>386</v>
      </c>
      <c r="B50" t="s">
        <v>184</v>
      </c>
      <c r="C50" s="7" t="s">
        <v>11</v>
      </c>
      <c r="D50" s="7" t="s">
        <v>62</v>
      </c>
      <c r="E50" s="7" t="s">
        <v>25</v>
      </c>
      <c r="F50" s="7" t="s">
        <v>13</v>
      </c>
      <c r="G50" s="7" t="s">
        <v>14</v>
      </c>
      <c r="H50" s="10" t="s">
        <v>67</v>
      </c>
      <c r="I50" s="11">
        <v>0</v>
      </c>
      <c r="J50" s="13">
        <v>7.1999999999999998E-3</v>
      </c>
      <c r="K50" s="7" t="s">
        <v>94</v>
      </c>
      <c r="L50" s="12" t="str">
        <f>HYPERLINK("https://www.amundi.cz/produkty/dl/doc/kid-priips/LU1883320720/CES/CZE","KID")</f>
        <v>KID</v>
      </c>
    </row>
    <row r="51" spans="1:12" s="2" customFormat="1" ht="45" x14ac:dyDescent="0.25">
      <c r="A51" s="6" t="s">
        <v>185</v>
      </c>
      <c r="B51" s="2" t="s">
        <v>186</v>
      </c>
      <c r="C51" s="3" t="s">
        <v>11</v>
      </c>
      <c r="D51" s="3" t="s">
        <v>62</v>
      </c>
      <c r="E51" s="3" t="s">
        <v>128</v>
      </c>
      <c r="F51" s="3" t="s">
        <v>13</v>
      </c>
      <c r="G51" s="3" t="s">
        <v>14</v>
      </c>
      <c r="H51" s="4" t="s">
        <v>22</v>
      </c>
      <c r="I51" s="8">
        <v>0</v>
      </c>
      <c r="J51" s="14">
        <v>7.1999999999999998E-3</v>
      </c>
      <c r="K51" s="3" t="s">
        <v>94</v>
      </c>
      <c r="L51" s="5" t="str">
        <f>HYPERLINK("https://www.amundi.cz/produkty/dl/doc/kid-priips/LU1883840990/CES/CZE","KID")</f>
        <v>KID</v>
      </c>
    </row>
    <row r="52" spans="1:12" ht="45" x14ac:dyDescent="0.25">
      <c r="A52" s="9" t="s">
        <v>187</v>
      </c>
      <c r="B52" t="s">
        <v>188</v>
      </c>
      <c r="C52" s="7" t="s">
        <v>11</v>
      </c>
      <c r="D52" s="7" t="s">
        <v>62</v>
      </c>
      <c r="E52" s="7" t="s">
        <v>128</v>
      </c>
      <c r="F52" s="7" t="s">
        <v>13</v>
      </c>
      <c r="G52" s="7" t="s">
        <v>14</v>
      </c>
      <c r="H52" s="10" t="s">
        <v>22</v>
      </c>
      <c r="I52" s="11">
        <v>0</v>
      </c>
      <c r="J52" s="13">
        <v>6.0000000000000001E-3</v>
      </c>
      <c r="K52" s="7" t="s">
        <v>94</v>
      </c>
      <c r="L52" s="12" t="str">
        <f>HYPERLINK("https://www.amundi.cz/produkty/dl/doc/kid-priips/LU1882475806/CES/CZE","KID")</f>
        <v>KID</v>
      </c>
    </row>
    <row r="53" spans="1:12" s="2" customFormat="1" ht="45" x14ac:dyDescent="0.25">
      <c r="A53" s="6" t="s">
        <v>385</v>
      </c>
      <c r="B53" s="2" t="s">
        <v>189</v>
      </c>
      <c r="C53" s="3" t="s">
        <v>11</v>
      </c>
      <c r="D53" s="3" t="s">
        <v>62</v>
      </c>
      <c r="E53" s="3" t="s">
        <v>25</v>
      </c>
      <c r="F53" s="3" t="s">
        <v>76</v>
      </c>
      <c r="G53" s="3" t="s">
        <v>14</v>
      </c>
      <c r="H53" s="4" t="s">
        <v>67</v>
      </c>
      <c r="I53" s="8">
        <v>0</v>
      </c>
      <c r="J53" s="14">
        <v>7.1999999999999998E-3</v>
      </c>
      <c r="K53" s="3" t="s">
        <v>94</v>
      </c>
      <c r="L53" s="5" t="str">
        <f>HYPERLINK("https://www.amundi.cz/produkty/dl/doc/kid-priips/LU1883311067/CES/CZE","KID")</f>
        <v>KID</v>
      </c>
    </row>
    <row r="54" spans="1:12" ht="45" x14ac:dyDescent="0.25">
      <c r="A54" s="9" t="s">
        <v>390</v>
      </c>
      <c r="B54" t="s">
        <v>190</v>
      </c>
      <c r="C54" s="7" t="s">
        <v>11</v>
      </c>
      <c r="D54" s="7" t="s">
        <v>62</v>
      </c>
      <c r="E54" s="7" t="s">
        <v>25</v>
      </c>
      <c r="F54" s="7" t="s">
        <v>76</v>
      </c>
      <c r="G54" s="7" t="s">
        <v>14</v>
      </c>
      <c r="H54" s="10" t="s">
        <v>67</v>
      </c>
      <c r="I54" s="11">
        <v>0</v>
      </c>
      <c r="J54" s="13">
        <v>6.9999999999999999E-4</v>
      </c>
      <c r="K54" s="7" t="s">
        <v>94</v>
      </c>
      <c r="L54" s="12" t="str">
        <f>HYPERLINK("https://www.amundi.cz/produkty/dl/doc/kid-priips/LU1049757393/CES/CZE","KID")</f>
        <v>KID</v>
      </c>
    </row>
    <row r="55" spans="1:12" s="2" customFormat="1" ht="45" x14ac:dyDescent="0.25">
      <c r="A55" s="6" t="s">
        <v>384</v>
      </c>
      <c r="B55" s="2" t="s">
        <v>191</v>
      </c>
      <c r="C55" s="3" t="s">
        <v>11</v>
      </c>
      <c r="D55" s="3" t="s">
        <v>62</v>
      </c>
      <c r="E55" s="3" t="s">
        <v>25</v>
      </c>
      <c r="F55" s="3" t="s">
        <v>76</v>
      </c>
      <c r="G55" s="3" t="s">
        <v>14</v>
      </c>
      <c r="H55" s="4" t="s">
        <v>67</v>
      </c>
      <c r="I55" s="8">
        <v>0</v>
      </c>
      <c r="J55" s="14">
        <v>7.1999999999999998E-3</v>
      </c>
      <c r="K55" s="3" t="s">
        <v>94</v>
      </c>
      <c r="L55" s="5" t="str">
        <f>HYPERLINK("https://www.amundi.cz/produkty/dl/doc/kid-priips/LU1883311141/CES/CZE","KID")</f>
        <v>KID</v>
      </c>
    </row>
    <row r="56" spans="1:12" ht="45" x14ac:dyDescent="0.25">
      <c r="A56" s="9" t="s">
        <v>391</v>
      </c>
      <c r="B56" t="s">
        <v>192</v>
      </c>
      <c r="C56" s="7" t="s">
        <v>11</v>
      </c>
      <c r="D56" s="7" t="s">
        <v>62</v>
      </c>
      <c r="E56" s="7" t="s">
        <v>25</v>
      </c>
      <c r="F56" s="7" t="s">
        <v>76</v>
      </c>
      <c r="G56" s="7" t="s">
        <v>14</v>
      </c>
      <c r="H56" s="10" t="s">
        <v>67</v>
      </c>
      <c r="I56" s="11">
        <v>0</v>
      </c>
      <c r="J56" s="13">
        <v>6.9999999999999999E-4</v>
      </c>
      <c r="K56" s="7" t="s">
        <v>94</v>
      </c>
      <c r="L56" s="12" t="str">
        <f>HYPERLINK("https://www.amundi.cz/produkty/dl/doc/kid-priips/LU0442407853/CES/CZE","KID")</f>
        <v>KID</v>
      </c>
    </row>
    <row r="57" spans="1:12" s="2" customFormat="1" ht="45" x14ac:dyDescent="0.25">
      <c r="A57" s="6" t="s">
        <v>193</v>
      </c>
      <c r="B57" s="2" t="s">
        <v>194</v>
      </c>
      <c r="C57" s="3" t="s">
        <v>11</v>
      </c>
      <c r="D57" s="3" t="s">
        <v>62</v>
      </c>
      <c r="E57" s="3" t="s">
        <v>25</v>
      </c>
      <c r="F57" s="3" t="s">
        <v>76</v>
      </c>
      <c r="G57" s="3" t="s">
        <v>14</v>
      </c>
      <c r="H57" s="4" t="s">
        <v>67</v>
      </c>
      <c r="I57" s="8">
        <v>0</v>
      </c>
      <c r="J57" s="14">
        <v>7.1999999999999998E-3</v>
      </c>
      <c r="K57" s="3" t="s">
        <v>94</v>
      </c>
      <c r="L57" s="5" t="str">
        <f>HYPERLINK("https://www.amundi.cz/produkty/dl/doc/kid-priips/LU1883868819/CES/CZE","KID")</f>
        <v>KID</v>
      </c>
    </row>
    <row r="58" spans="1:12" ht="45" x14ac:dyDescent="0.25">
      <c r="A58" s="9" t="s">
        <v>195</v>
      </c>
      <c r="B58" t="s">
        <v>196</v>
      </c>
      <c r="C58" s="7" t="s">
        <v>11</v>
      </c>
      <c r="D58" s="7" t="s">
        <v>62</v>
      </c>
      <c r="E58" s="7" t="s">
        <v>25</v>
      </c>
      <c r="F58" s="7" t="s">
        <v>76</v>
      </c>
      <c r="G58" s="7" t="s">
        <v>14</v>
      </c>
      <c r="H58" s="10" t="s">
        <v>96</v>
      </c>
      <c r="I58" s="11">
        <v>0</v>
      </c>
      <c r="J58" s="13">
        <v>8.2000000000000007E-3</v>
      </c>
      <c r="K58" s="7" t="s">
        <v>94</v>
      </c>
      <c r="L58" s="12" t="str">
        <f>HYPERLINK("https://www.amundi.cz/produkty/dl/doc/kid-priips/LU1049754457/CES/CZE","KID")</f>
        <v>KID</v>
      </c>
    </row>
    <row r="59" spans="1:12" s="2" customFormat="1" ht="45" x14ac:dyDescent="0.25">
      <c r="A59" s="6" t="s">
        <v>387</v>
      </c>
      <c r="B59" s="2" t="s">
        <v>197</v>
      </c>
      <c r="C59" s="3" t="s">
        <v>11</v>
      </c>
      <c r="D59" s="3" t="s">
        <v>62</v>
      </c>
      <c r="E59" s="3" t="s">
        <v>25</v>
      </c>
      <c r="F59" s="3" t="s">
        <v>13</v>
      </c>
      <c r="G59" s="3" t="s">
        <v>14</v>
      </c>
      <c r="H59" s="4" t="s">
        <v>67</v>
      </c>
      <c r="I59" s="8">
        <v>0</v>
      </c>
      <c r="J59" s="14">
        <v>7.1999999999999998E-3</v>
      </c>
      <c r="K59" s="3" t="s">
        <v>94</v>
      </c>
      <c r="L59" s="5" t="str">
        <f>HYPERLINK("https://www.amundi.cz/produkty/dl/doc/kid-priips/LU1883321371/CES/CZE","KID")</f>
        <v>KID</v>
      </c>
    </row>
    <row r="60" spans="1:12" ht="45" x14ac:dyDescent="0.25">
      <c r="A60" s="9" t="s">
        <v>198</v>
      </c>
      <c r="B60" t="s">
        <v>199</v>
      </c>
      <c r="C60" s="7" t="s">
        <v>11</v>
      </c>
      <c r="D60" s="7" t="s">
        <v>62</v>
      </c>
      <c r="E60" s="7" t="s">
        <v>200</v>
      </c>
      <c r="F60" s="7" t="s">
        <v>13</v>
      </c>
      <c r="G60" s="7" t="s">
        <v>14</v>
      </c>
      <c r="H60" s="10" t="s">
        <v>22</v>
      </c>
      <c r="I60" s="11">
        <v>0</v>
      </c>
      <c r="J60" s="13">
        <v>3.7000000000000002E-3</v>
      </c>
      <c r="K60" s="7" t="s">
        <v>94</v>
      </c>
      <c r="L60" s="12" t="str">
        <f>HYPERLINK("https://www.amundi.cz/produkty/dl/doc/kid-priips/LU1049752758/CES/CZE","KID")</f>
        <v>KID</v>
      </c>
    </row>
    <row r="61" spans="1:12" s="2" customFormat="1" ht="45" x14ac:dyDescent="0.25">
      <c r="A61" s="6" t="s">
        <v>201</v>
      </c>
      <c r="B61" s="2" t="s">
        <v>202</v>
      </c>
      <c r="C61" s="3" t="s">
        <v>11</v>
      </c>
      <c r="D61" s="3" t="s">
        <v>62</v>
      </c>
      <c r="E61" s="3" t="s">
        <v>128</v>
      </c>
      <c r="F61" s="3" t="s">
        <v>13</v>
      </c>
      <c r="G61" s="3" t="s">
        <v>14</v>
      </c>
      <c r="H61" s="4" t="s">
        <v>22</v>
      </c>
      <c r="I61" s="8">
        <v>0</v>
      </c>
      <c r="J61" s="14">
        <v>7.1999999999999998E-3</v>
      </c>
      <c r="K61" s="3" t="s">
        <v>94</v>
      </c>
      <c r="L61" s="5" t="str">
        <f>HYPERLINK("https://www.amundi.cz/produkty/dl/doc/kid-priips/LU1883330364/CES/CZE","KID")</f>
        <v>KID</v>
      </c>
    </row>
    <row r="62" spans="1:12" ht="45" x14ac:dyDescent="0.25">
      <c r="A62" s="9" t="s">
        <v>203</v>
      </c>
      <c r="B62" t="s">
        <v>204</v>
      </c>
      <c r="C62" s="7" t="s">
        <v>11</v>
      </c>
      <c r="D62" s="7" t="s">
        <v>62</v>
      </c>
      <c r="E62" s="7" t="s">
        <v>128</v>
      </c>
      <c r="F62" s="7" t="s">
        <v>76</v>
      </c>
      <c r="G62" s="7" t="s">
        <v>14</v>
      </c>
      <c r="H62" s="10" t="s">
        <v>26</v>
      </c>
      <c r="I62" s="11">
        <v>0</v>
      </c>
      <c r="J62" s="13">
        <v>6.7000000000000002E-3</v>
      </c>
      <c r="K62" s="7" t="s">
        <v>94</v>
      </c>
      <c r="L62" s="12" t="str">
        <f>HYPERLINK("https://www.amundi-kb.cz/storage/app/media/KIID/KIID_LU1121647231.pdf","KID")</f>
        <v>KID</v>
      </c>
    </row>
    <row r="63" spans="1:12" s="2" customFormat="1" ht="45" x14ac:dyDescent="0.25">
      <c r="A63" s="6" t="s">
        <v>205</v>
      </c>
      <c r="B63" s="2" t="s">
        <v>206</v>
      </c>
      <c r="C63" s="3" t="s">
        <v>11</v>
      </c>
      <c r="D63" s="3" t="s">
        <v>62</v>
      </c>
      <c r="E63" s="3" t="s">
        <v>25</v>
      </c>
      <c r="F63" s="3" t="s">
        <v>76</v>
      </c>
      <c r="G63" s="3" t="s">
        <v>14</v>
      </c>
      <c r="H63" s="4" t="s">
        <v>96</v>
      </c>
      <c r="I63" s="8">
        <v>0</v>
      </c>
      <c r="J63" s="14">
        <v>7.1999999999999998E-3</v>
      </c>
      <c r="K63" s="3" t="s">
        <v>94</v>
      </c>
      <c r="L63" s="5" t="str">
        <f>HYPERLINK("https://www.amundi.cz/produkty/dl/doc/kid-priips/LU1883303809/CES/CZE","KID")</f>
        <v>KID</v>
      </c>
    </row>
    <row r="64" spans="1:12" ht="45" x14ac:dyDescent="0.25">
      <c r="A64" s="9" t="s">
        <v>388</v>
      </c>
      <c r="B64" t="s">
        <v>207</v>
      </c>
      <c r="C64" s="7" t="s">
        <v>11</v>
      </c>
      <c r="D64" s="7" t="s">
        <v>62</v>
      </c>
      <c r="E64" s="7" t="s">
        <v>25</v>
      </c>
      <c r="F64" s="7" t="s">
        <v>76</v>
      </c>
      <c r="G64" s="7" t="s">
        <v>14</v>
      </c>
      <c r="H64" s="10" t="s">
        <v>67</v>
      </c>
      <c r="I64" s="11">
        <v>0</v>
      </c>
      <c r="J64" s="13">
        <v>7.9000000000000008E-3</v>
      </c>
      <c r="K64" s="7" t="s">
        <v>94</v>
      </c>
      <c r="L64" s="12" t="str">
        <f>HYPERLINK("https://www.amundi.cz/dl/doc/kid-priips/LU1883342617/CES/CZE/20260522?inline","KID")</f>
        <v>KID</v>
      </c>
    </row>
    <row r="65" spans="1:12" s="2" customFormat="1" ht="45" x14ac:dyDescent="0.25">
      <c r="A65" s="6" t="s">
        <v>208</v>
      </c>
      <c r="B65" s="2" t="s">
        <v>209</v>
      </c>
      <c r="C65" s="3" t="s">
        <v>11</v>
      </c>
      <c r="D65" s="3" t="s">
        <v>62</v>
      </c>
      <c r="E65" s="3" t="s">
        <v>25</v>
      </c>
      <c r="F65" s="3" t="s">
        <v>76</v>
      </c>
      <c r="G65" s="3" t="s">
        <v>14</v>
      </c>
      <c r="H65" s="4" t="s">
        <v>96</v>
      </c>
      <c r="I65" s="8">
        <v>0</v>
      </c>
      <c r="J65" s="14">
        <v>8.2000000000000007E-3</v>
      </c>
      <c r="K65" s="3" t="s">
        <v>94</v>
      </c>
      <c r="L65" s="5" t="str">
        <f>HYPERLINK("https://www.amundi-kb.cz/storage/app/media/KIID/KIID_LU0236501697.pdf","KID")</f>
        <v>KID</v>
      </c>
    </row>
    <row r="66" spans="1:12" ht="45" x14ac:dyDescent="0.25">
      <c r="A66" s="9" t="s">
        <v>389</v>
      </c>
      <c r="B66" t="s">
        <v>210</v>
      </c>
      <c r="C66" s="7" t="s">
        <v>11</v>
      </c>
      <c r="D66" s="7" t="s">
        <v>62</v>
      </c>
      <c r="E66" s="7" t="s">
        <v>25</v>
      </c>
      <c r="F66" s="7" t="s">
        <v>76</v>
      </c>
      <c r="G66" s="7" t="s">
        <v>14</v>
      </c>
      <c r="H66" s="10" t="s">
        <v>67</v>
      </c>
      <c r="I66" s="11">
        <v>0</v>
      </c>
      <c r="J66" s="13">
        <v>6.9999999999999999E-4</v>
      </c>
      <c r="K66" s="7" t="s">
        <v>94</v>
      </c>
      <c r="L66" s="12" t="str">
        <f>HYPERLINK("https://www.amundi.cz/produkty/dl/doc/kid-priips/LU0389811885/CES/CZE","KID")</f>
        <v>KID</v>
      </c>
    </row>
    <row r="67" spans="1:12" s="2" customFormat="1" ht="45" x14ac:dyDescent="0.25">
      <c r="A67" s="6" t="s">
        <v>211</v>
      </c>
      <c r="B67" s="2" t="s">
        <v>212</v>
      </c>
      <c r="C67" s="3" t="s">
        <v>11</v>
      </c>
      <c r="D67" s="3" t="s">
        <v>62</v>
      </c>
      <c r="E67" s="3" t="s">
        <v>25</v>
      </c>
      <c r="F67" s="3" t="s">
        <v>13</v>
      </c>
      <c r="G67" s="3" t="s">
        <v>14</v>
      </c>
      <c r="H67" s="4" t="s">
        <v>22</v>
      </c>
      <c r="I67" s="8">
        <v>0</v>
      </c>
      <c r="J67" s="14">
        <v>5.7999999999999996E-3</v>
      </c>
      <c r="K67" s="3" t="s">
        <v>94</v>
      </c>
      <c r="L67" s="5" t="str">
        <f>HYPERLINK("https://www.amundi-kb.cz/storage/app/media/KIID/KIID_LU1049751867.pdf","KID")</f>
        <v>KID</v>
      </c>
    </row>
    <row r="68" spans="1:12" ht="45" x14ac:dyDescent="0.25">
      <c r="A68" s="9" t="s">
        <v>213</v>
      </c>
      <c r="B68" t="s">
        <v>214</v>
      </c>
      <c r="C68" s="7" t="s">
        <v>11</v>
      </c>
      <c r="D68" s="7" t="s">
        <v>62</v>
      </c>
      <c r="E68" s="7" t="s">
        <v>25</v>
      </c>
      <c r="F68" s="7" t="s">
        <v>13</v>
      </c>
      <c r="G68" s="7" t="s">
        <v>14</v>
      </c>
      <c r="H68" s="10" t="s">
        <v>67</v>
      </c>
      <c r="I68" s="11">
        <v>0</v>
      </c>
      <c r="J68" s="13">
        <v>7.1999999999999998E-3</v>
      </c>
      <c r="K68" s="7" t="s">
        <v>94</v>
      </c>
      <c r="L68" s="12" t="str">
        <f>HYPERLINK("https://www.amundi.cz/dl/doc/kid-priips/LU1883314244/CES/CZE/20260515?inline","KID")</f>
        <v>KID</v>
      </c>
    </row>
    <row r="69" spans="1:12" s="2" customFormat="1" ht="45" x14ac:dyDescent="0.25">
      <c r="A69" s="6" t="s">
        <v>215</v>
      </c>
      <c r="B69" s="2" t="s">
        <v>216</v>
      </c>
      <c r="C69" s="3" t="s">
        <v>11</v>
      </c>
      <c r="D69" s="3" t="s">
        <v>62</v>
      </c>
      <c r="E69" s="3" t="s">
        <v>25</v>
      </c>
      <c r="F69" s="3" t="s">
        <v>76</v>
      </c>
      <c r="G69" s="3" t="s">
        <v>14</v>
      </c>
      <c r="H69" s="4" t="s">
        <v>96</v>
      </c>
      <c r="I69" s="8">
        <v>0</v>
      </c>
      <c r="J69" s="14">
        <v>7.1999999999999998E-3</v>
      </c>
      <c r="K69" s="3" t="s">
        <v>94</v>
      </c>
      <c r="L69" s="5" t="str">
        <f>HYPERLINK("https://www.amundi.cz/produkty/dl/doc/kid-priips/LU1883303635/CES/CZE","KID")</f>
        <v>KID</v>
      </c>
    </row>
    <row r="70" spans="1:12" ht="45" x14ac:dyDescent="0.25">
      <c r="A70" s="9" t="s">
        <v>217</v>
      </c>
      <c r="B70" t="s">
        <v>218</v>
      </c>
      <c r="C70" s="7" t="s">
        <v>11</v>
      </c>
      <c r="D70" s="7" t="s">
        <v>62</v>
      </c>
      <c r="E70" s="7" t="s">
        <v>25</v>
      </c>
      <c r="F70" s="7" t="s">
        <v>76</v>
      </c>
      <c r="G70" s="7" t="s">
        <v>14</v>
      </c>
      <c r="H70" s="10" t="s">
        <v>67</v>
      </c>
      <c r="I70" s="11">
        <v>0</v>
      </c>
      <c r="J70" s="13">
        <v>7.1999999999999998E-3</v>
      </c>
      <c r="K70" s="7" t="s">
        <v>94</v>
      </c>
      <c r="L70" s="12" t="str">
        <f>HYPERLINK("https://www.amundi.cz/produkty/dl/doc/kid-priips/LU1883859404/CES/CZE","KID")</f>
        <v>KID</v>
      </c>
    </row>
    <row r="71" spans="1:12" s="2" customFormat="1" ht="45" x14ac:dyDescent="0.25">
      <c r="A71" s="6" t="s">
        <v>324</v>
      </c>
      <c r="B71" s="2" t="s">
        <v>325</v>
      </c>
      <c r="C71" s="3" t="s">
        <v>11</v>
      </c>
      <c r="D71" s="3" t="s">
        <v>62</v>
      </c>
      <c r="E71" s="3" t="s">
        <v>128</v>
      </c>
      <c r="F71" s="3" t="s">
        <v>13</v>
      </c>
      <c r="G71" s="3" t="s">
        <v>14</v>
      </c>
      <c r="H71" s="4" t="s">
        <v>22</v>
      </c>
      <c r="I71" s="8">
        <v>0</v>
      </c>
      <c r="J71" s="14">
        <v>4.7999999999999996E-3</v>
      </c>
      <c r="K71" s="3" t="s">
        <v>94</v>
      </c>
      <c r="L71" s="5" t="str">
        <f>HYPERLINK("https://www.amundi.cz/dl/doc/kid-priips/LU3129351048/CES/CZE/20250730?inline","KID")</f>
        <v>KID</v>
      </c>
    </row>
    <row r="72" spans="1:12" ht="45" x14ac:dyDescent="0.25">
      <c r="A72" s="9" t="s">
        <v>219</v>
      </c>
      <c r="B72" t="s">
        <v>220</v>
      </c>
      <c r="C72" s="7" t="s">
        <v>11</v>
      </c>
      <c r="D72" s="7" t="s">
        <v>62</v>
      </c>
      <c r="E72" s="7" t="s">
        <v>128</v>
      </c>
      <c r="F72" s="7" t="s">
        <v>13</v>
      </c>
      <c r="G72" s="7" t="s">
        <v>14</v>
      </c>
      <c r="H72" s="10" t="s">
        <v>26</v>
      </c>
      <c r="I72" s="11">
        <v>0</v>
      </c>
      <c r="J72" s="13">
        <v>6.4999999999999997E-3</v>
      </c>
      <c r="K72" s="7" t="s">
        <v>94</v>
      </c>
      <c r="L72" s="12" t="str">
        <f>HYPERLINK("https://www.amundi-kb.cz/storage/app/media/KIID/KIID_LU1880385494.pdf","KID")</f>
        <v>KID</v>
      </c>
    </row>
    <row r="73" spans="1:12" s="2" customFormat="1" ht="45" x14ac:dyDescent="0.25">
      <c r="A73" s="6" t="s">
        <v>168</v>
      </c>
      <c r="B73" s="2" t="s">
        <v>169</v>
      </c>
      <c r="C73" s="3" t="s">
        <v>11</v>
      </c>
      <c r="D73" s="3" t="s">
        <v>62</v>
      </c>
      <c r="E73" s="3" t="s">
        <v>25</v>
      </c>
      <c r="F73" s="3" t="s">
        <v>13</v>
      </c>
      <c r="G73" s="3" t="s">
        <v>14</v>
      </c>
      <c r="H73" s="4" t="s">
        <v>170</v>
      </c>
      <c r="I73" s="8">
        <v>0</v>
      </c>
      <c r="J73" s="14">
        <v>8.4000000000000012E-3</v>
      </c>
      <c r="K73" s="3" t="s">
        <v>171</v>
      </c>
      <c r="L73" s="5" t="str">
        <f>HYPERLINK("https://www.blackrock.com/uk/literature/kiid/ucits_kiid-bgf-world-mining-fund-class-a2-usd-gb-lu0075056555-en.pdf","KID")</f>
        <v>KID</v>
      </c>
    </row>
    <row r="74" spans="1:12" ht="45" x14ac:dyDescent="0.25">
      <c r="A74" s="9" t="s">
        <v>180</v>
      </c>
      <c r="B74" t="s">
        <v>181</v>
      </c>
      <c r="C74" s="7" t="s">
        <v>11</v>
      </c>
      <c r="D74" s="7" t="s">
        <v>62</v>
      </c>
      <c r="E74" s="7" t="s">
        <v>25</v>
      </c>
      <c r="F74" s="7" t="s">
        <v>13</v>
      </c>
      <c r="G74" s="7" t="s">
        <v>14</v>
      </c>
      <c r="H74" s="10" t="s">
        <v>67</v>
      </c>
      <c r="I74" s="11">
        <v>0</v>
      </c>
      <c r="J74" s="13">
        <v>7.92E-3</v>
      </c>
      <c r="K74" s="7" t="s">
        <v>171</v>
      </c>
      <c r="L74" s="12" t="str">
        <f>HYPERLINK("https://www.blackrock.com/cz/individualni-investori/literature/kiid/eu-priips-bgf-sustainable-energy-fund-class-a2-usd-lu0124384867-cs.pdf","KID")</f>
        <v>KID</v>
      </c>
    </row>
    <row r="75" spans="1:12" s="2" customFormat="1" ht="45" x14ac:dyDescent="0.25">
      <c r="A75" s="6" t="s">
        <v>226</v>
      </c>
      <c r="B75" s="2" t="s">
        <v>227</v>
      </c>
      <c r="C75" s="3" t="s">
        <v>11</v>
      </c>
      <c r="D75" s="3" t="s">
        <v>62</v>
      </c>
      <c r="E75" s="3" t="s">
        <v>25</v>
      </c>
      <c r="F75" s="3" t="s">
        <v>13</v>
      </c>
      <c r="G75" s="3" t="s">
        <v>14</v>
      </c>
      <c r="H75" s="4" t="s">
        <v>96</v>
      </c>
      <c r="I75" s="8">
        <v>0</v>
      </c>
      <c r="J75" s="14">
        <v>8.4000000000000012E-3</v>
      </c>
      <c r="K75" s="3" t="s">
        <v>171</v>
      </c>
      <c r="L75" s="5" t="str">
        <f>HYPERLINK("https://www.blackrock.com/cz/individualni-investori/literature/kiid/eu-priips-bgf-latin-american-fund-class-a2-usd-lu0072463663-cs.pdf","KID")</f>
        <v>KID</v>
      </c>
    </row>
    <row r="76" spans="1:12" ht="45" x14ac:dyDescent="0.25">
      <c r="A76" s="9" t="s">
        <v>266</v>
      </c>
      <c r="B76" t="s">
        <v>267</v>
      </c>
      <c r="C76" s="7" t="s">
        <v>11</v>
      </c>
      <c r="D76" s="7" t="s">
        <v>62</v>
      </c>
      <c r="E76" s="7" t="s">
        <v>25</v>
      </c>
      <c r="F76" s="7" t="s">
        <v>13</v>
      </c>
      <c r="G76" s="7" t="s">
        <v>14</v>
      </c>
      <c r="H76" s="10" t="s">
        <v>67</v>
      </c>
      <c r="I76" s="11">
        <v>0</v>
      </c>
      <c r="J76" s="13">
        <v>7.1999999999999998E-3</v>
      </c>
      <c r="K76" s="7" t="s">
        <v>171</v>
      </c>
      <c r="L76" s="12" t="str">
        <f>HYPERLINK("https://www.atlantik.cz/fond-dokument/LU0545039389/0","KID")</f>
        <v>KID</v>
      </c>
    </row>
    <row r="77" spans="1:12" s="2" customFormat="1" ht="45" x14ac:dyDescent="0.25">
      <c r="A77" s="6" t="s">
        <v>274</v>
      </c>
      <c r="B77" s="2" t="s">
        <v>275</v>
      </c>
      <c r="C77" s="3" t="s">
        <v>11</v>
      </c>
      <c r="D77" s="3" t="s">
        <v>62</v>
      </c>
      <c r="E77" s="3" t="s">
        <v>25</v>
      </c>
      <c r="F77" s="3" t="s">
        <v>13</v>
      </c>
      <c r="G77" s="3" t="s">
        <v>14</v>
      </c>
      <c r="H77" s="4" t="s">
        <v>26</v>
      </c>
      <c r="I77" s="8">
        <v>0</v>
      </c>
      <c r="J77" s="14">
        <v>7.1999999999999998E-3</v>
      </c>
      <c r="K77" s="3" t="s">
        <v>171</v>
      </c>
      <c r="L77" s="5" t="str">
        <f>HYPERLINK("https://www.blackrock.com/cz/individualni-investori/literature/kiid/eu-priips-bgf-global-allocation-fund-class-a2-usd-lu0072462426-cs.pdf","KID")</f>
        <v>KID</v>
      </c>
    </row>
    <row r="78" spans="1:12" ht="45" x14ac:dyDescent="0.25">
      <c r="A78" s="9" t="s">
        <v>286</v>
      </c>
      <c r="B78" t="s">
        <v>287</v>
      </c>
      <c r="C78" s="7" t="s">
        <v>11</v>
      </c>
      <c r="D78" s="7" t="s">
        <v>62</v>
      </c>
      <c r="E78" s="7" t="s">
        <v>25</v>
      </c>
      <c r="F78" s="7" t="s">
        <v>13</v>
      </c>
      <c r="G78" s="7" t="s">
        <v>14</v>
      </c>
      <c r="H78" s="10" t="s">
        <v>96</v>
      </c>
      <c r="I78" s="11">
        <v>0</v>
      </c>
      <c r="J78" s="13">
        <v>7.1999999999999998E-3</v>
      </c>
      <c r="K78" s="7" t="s">
        <v>171</v>
      </c>
      <c r="L78" s="12" t="str">
        <f>HYPERLINK("https://www.blackrock.com/cz/individualni-investori/literature/kiid/eu-priips-bgf-asian-dragon-fund-class-a2-usd-lu0072462343-cs.pdf","KID")</f>
        <v>KID</v>
      </c>
    </row>
    <row r="79" spans="1:12" s="2" customFormat="1" ht="45" x14ac:dyDescent="0.25">
      <c r="A79" s="6" t="s">
        <v>291</v>
      </c>
      <c r="B79" s="2" t="s">
        <v>292</v>
      </c>
      <c r="C79" s="3" t="s">
        <v>11</v>
      </c>
      <c r="D79" s="3" t="s">
        <v>62</v>
      </c>
      <c r="E79" s="3" t="s">
        <v>200</v>
      </c>
      <c r="F79" s="3" t="s">
        <v>13</v>
      </c>
      <c r="G79" s="3" t="s">
        <v>14</v>
      </c>
      <c r="H79" s="4" t="s">
        <v>22</v>
      </c>
      <c r="I79" s="8">
        <v>0</v>
      </c>
      <c r="J79" s="14">
        <v>6.0000000000000001E-3</v>
      </c>
      <c r="K79" s="3" t="s">
        <v>171</v>
      </c>
      <c r="L79" s="5" t="str">
        <f>HYPERLINK("https://www.blackrock.com/cz/individualni-investori/literature/kiid/eu-priips-bsf-european-select-strategies-fund-class-a2-hedged-czk-lu1433515993-cs.pdf","KID")</f>
        <v>KID</v>
      </c>
    </row>
    <row r="80" spans="1:12" ht="45" x14ac:dyDescent="0.25">
      <c r="A80" s="9" t="s">
        <v>314</v>
      </c>
      <c r="B80" t="s">
        <v>315</v>
      </c>
      <c r="C80" s="7" t="s">
        <v>11</v>
      </c>
      <c r="D80" s="7" t="s">
        <v>62</v>
      </c>
      <c r="E80" s="7" t="s">
        <v>200</v>
      </c>
      <c r="F80" s="7" t="s">
        <v>13</v>
      </c>
      <c r="G80" s="7" t="s">
        <v>14</v>
      </c>
      <c r="H80" s="10" t="s">
        <v>22</v>
      </c>
      <c r="I80" s="11">
        <v>0</v>
      </c>
      <c r="J80" s="13">
        <v>3.8400000000000001E-3</v>
      </c>
      <c r="K80" s="7" t="s">
        <v>171</v>
      </c>
      <c r="L80" s="12" t="str">
        <f>HYPERLINK("https://www.blackrock.com/cz/individualni-investori/literature/kiid/eu-priips-bgf-euro-corporate-bond-fund-a2-czk-lu1791176222-cs.pdf","KID")</f>
        <v>KID</v>
      </c>
    </row>
    <row r="81" spans="1:12" s="2" customFormat="1" ht="45" x14ac:dyDescent="0.25">
      <c r="A81" s="6" t="s">
        <v>644</v>
      </c>
      <c r="B81" s="2" t="s">
        <v>643</v>
      </c>
      <c r="C81" s="3" t="s">
        <v>11</v>
      </c>
      <c r="D81" s="3" t="s">
        <v>62</v>
      </c>
      <c r="E81" s="3" t="s">
        <v>25</v>
      </c>
      <c r="F81" s="3" t="s">
        <v>13</v>
      </c>
      <c r="G81" s="3" t="s">
        <v>14</v>
      </c>
      <c r="H81" s="4" t="s">
        <v>67</v>
      </c>
      <c r="I81" s="8">
        <v>0</v>
      </c>
      <c r="J81" s="14">
        <v>8.7500000000000008E-3</v>
      </c>
      <c r="K81" s="3" t="s">
        <v>577</v>
      </c>
      <c r="L81" s="5" t="str">
        <f>HYPERLINK("https://api.bnpparibas-am.com/push-raw/doc-permalink/22780__KID_PRIIPS__CZE__SHARE__IP_CZ-FSE__CZE__---","KID")</f>
        <v>KID</v>
      </c>
    </row>
    <row r="82" spans="1:12" ht="45" x14ac:dyDescent="0.25">
      <c r="A82" s="9" t="s">
        <v>642</v>
      </c>
      <c r="B82" t="s">
        <v>641</v>
      </c>
      <c r="C82" s="7" t="s">
        <v>11</v>
      </c>
      <c r="D82" s="7" t="s">
        <v>62</v>
      </c>
      <c r="E82" s="7" t="s">
        <v>25</v>
      </c>
      <c r="F82" s="7" t="s">
        <v>13</v>
      </c>
      <c r="G82" s="7" t="s">
        <v>14</v>
      </c>
      <c r="H82" s="10" t="s">
        <v>26</v>
      </c>
      <c r="I82" s="11">
        <v>0</v>
      </c>
      <c r="J82" s="13">
        <v>7.4999999999999997E-3</v>
      </c>
      <c r="K82" s="7" t="s">
        <v>577</v>
      </c>
      <c r="L82" s="12" t="str">
        <f>HYPERLINK("https://api.bnpparibas-am.com/push-raw/doc-permalink/31390__KID_PRIIPS__CZE__SHARE__IP_CZ-FSE__CZE__---","KID")</f>
        <v>KID</v>
      </c>
    </row>
    <row r="83" spans="1:12" s="2" customFormat="1" ht="45" x14ac:dyDescent="0.25">
      <c r="A83" s="6" t="s">
        <v>640</v>
      </c>
      <c r="B83" s="2" t="s">
        <v>639</v>
      </c>
      <c r="C83" s="3" t="s">
        <v>11</v>
      </c>
      <c r="D83" s="3" t="s">
        <v>62</v>
      </c>
      <c r="E83" s="3" t="s">
        <v>12</v>
      </c>
      <c r="F83" s="3" t="s">
        <v>13</v>
      </c>
      <c r="G83" s="3" t="s">
        <v>14</v>
      </c>
      <c r="H83" s="4" t="s">
        <v>15</v>
      </c>
      <c r="I83" s="8">
        <v>0</v>
      </c>
      <c r="J83" s="14">
        <v>2E-3</v>
      </c>
      <c r="K83" s="3" t="s">
        <v>577</v>
      </c>
      <c r="L83" s="5" t="str">
        <f>HYPERLINK("https://docfinder.bnpparibas-am.com/api/files/30ee762f-16a5-40ea-8e1b-323e425d5d7f/4096","KID")</f>
        <v>KID</v>
      </c>
    </row>
    <row r="84" spans="1:12" ht="45" x14ac:dyDescent="0.25">
      <c r="A84" s="9" t="s">
        <v>638</v>
      </c>
      <c r="B84" t="s">
        <v>637</v>
      </c>
      <c r="C84" s="7" t="s">
        <v>11</v>
      </c>
      <c r="D84" s="7" t="s">
        <v>62</v>
      </c>
      <c r="E84" s="7" t="s">
        <v>25</v>
      </c>
      <c r="F84" s="7" t="s">
        <v>13</v>
      </c>
      <c r="G84" s="7" t="s">
        <v>14</v>
      </c>
      <c r="H84" s="10" t="s">
        <v>67</v>
      </c>
      <c r="I84" s="11">
        <v>0</v>
      </c>
      <c r="J84" s="13">
        <v>7.4999999999999997E-3</v>
      </c>
      <c r="K84" s="7" t="s">
        <v>577</v>
      </c>
      <c r="L84" s="12" t="str">
        <f>HYPERLINK("https://api.bnpparibas-am.com/push-raw/doc-permalink/25177__KID_PRIIPS__CZE__SHARE__IP_CZ-FSE__CZE__---","KID")</f>
        <v>KID</v>
      </c>
    </row>
    <row r="85" spans="1:12" s="2" customFormat="1" ht="45" x14ac:dyDescent="0.25">
      <c r="A85" s="6" t="s">
        <v>636</v>
      </c>
      <c r="B85" s="2" t="s">
        <v>635</v>
      </c>
      <c r="C85" s="3" t="s">
        <v>11</v>
      </c>
      <c r="D85" s="3" t="s">
        <v>62</v>
      </c>
      <c r="E85" s="3" t="s">
        <v>25</v>
      </c>
      <c r="F85" s="3" t="s">
        <v>13</v>
      </c>
      <c r="G85" s="3" t="s">
        <v>14</v>
      </c>
      <c r="H85" s="4" t="s">
        <v>67</v>
      </c>
      <c r="I85" s="8">
        <v>0</v>
      </c>
      <c r="J85" s="14">
        <v>8.7500000000000008E-3</v>
      </c>
      <c r="K85" s="3" t="s">
        <v>577</v>
      </c>
      <c r="L85" s="5" t="str">
        <f>HYPERLINK("https://api.bnpparibas-am.com/push-raw/doc-permalink/18052__KID_PRIIPS__CZE__SHARE__IP_CZ-FSE__CZE__---","KID")</f>
        <v>KID</v>
      </c>
    </row>
    <row r="86" spans="1:12" ht="45" x14ac:dyDescent="0.25">
      <c r="A86" s="9" t="s">
        <v>634</v>
      </c>
      <c r="B86" t="s">
        <v>633</v>
      </c>
      <c r="C86" s="7" t="s">
        <v>11</v>
      </c>
      <c r="D86" s="7" t="s">
        <v>62</v>
      </c>
      <c r="E86" s="7" t="s">
        <v>25</v>
      </c>
      <c r="F86" s="7" t="s">
        <v>13</v>
      </c>
      <c r="G86" s="7" t="s">
        <v>14</v>
      </c>
      <c r="H86" s="10" t="s">
        <v>67</v>
      </c>
      <c r="I86" s="11">
        <v>0</v>
      </c>
      <c r="J86" s="13">
        <v>8.7500000000000008E-3</v>
      </c>
      <c r="K86" s="7" t="s">
        <v>577</v>
      </c>
      <c r="L86" s="12" t="str">
        <f>HYPERLINK("https://docfinder.bnpparibas-am.com/api/files/dbb98667-5210-495d-98f9-fc0577edc69a/6656","KID")</f>
        <v>KID</v>
      </c>
    </row>
    <row r="87" spans="1:12" s="2" customFormat="1" ht="45" x14ac:dyDescent="0.25">
      <c r="A87" s="6" t="s">
        <v>632</v>
      </c>
      <c r="B87" s="2" t="s">
        <v>631</v>
      </c>
      <c r="C87" s="3" t="s">
        <v>11</v>
      </c>
      <c r="D87" s="3" t="s">
        <v>62</v>
      </c>
      <c r="E87" s="3" t="s">
        <v>25</v>
      </c>
      <c r="F87" s="3" t="s">
        <v>13</v>
      </c>
      <c r="G87" s="3" t="s">
        <v>14</v>
      </c>
      <c r="H87" s="4" t="s">
        <v>96</v>
      </c>
      <c r="I87" s="8">
        <v>0</v>
      </c>
      <c r="J87" s="14">
        <v>7.4999999999999997E-3</v>
      </c>
      <c r="K87" s="3" t="s">
        <v>577</v>
      </c>
      <c r="L87" s="5" t="str">
        <f>HYPERLINK("https://api.bnpparibas-am.com/push-raw/doc-permalink/13178__KID_PRIIPS__CZE__SHARE__IP_CZ-FSE__CZE__---","KID")</f>
        <v>KID</v>
      </c>
    </row>
    <row r="88" spans="1:12" ht="45" x14ac:dyDescent="0.25">
      <c r="A88" s="9" t="s">
        <v>630</v>
      </c>
      <c r="B88" t="s">
        <v>629</v>
      </c>
      <c r="C88" s="7" t="s">
        <v>11</v>
      </c>
      <c r="D88" s="7" t="s">
        <v>62</v>
      </c>
      <c r="E88" s="7" t="s">
        <v>25</v>
      </c>
      <c r="F88" s="7" t="s">
        <v>13</v>
      </c>
      <c r="G88" s="7" t="s">
        <v>14</v>
      </c>
      <c r="H88" s="10" t="s">
        <v>170</v>
      </c>
      <c r="I88" s="11">
        <v>0</v>
      </c>
      <c r="J88" s="13">
        <v>7.4999999999999997E-3</v>
      </c>
      <c r="K88" s="7" t="s">
        <v>577</v>
      </c>
      <c r="L88" s="12" t="str">
        <f>HYPERLINK("https://www.conseq.cz/Conseq/Document.ashx?file=LU0823414635-KIID-CZE-CS","KID")</f>
        <v>KID</v>
      </c>
    </row>
    <row r="89" spans="1:12" s="2" customFormat="1" ht="45" x14ac:dyDescent="0.25">
      <c r="A89" s="6" t="s">
        <v>628</v>
      </c>
      <c r="B89" s="2" t="s">
        <v>627</v>
      </c>
      <c r="C89" s="3" t="s">
        <v>11</v>
      </c>
      <c r="D89" s="3" t="s">
        <v>62</v>
      </c>
      <c r="E89" s="3" t="s">
        <v>25</v>
      </c>
      <c r="F89" s="3" t="s">
        <v>13</v>
      </c>
      <c r="G89" s="3" t="s">
        <v>14</v>
      </c>
      <c r="H89" s="4" t="s">
        <v>96</v>
      </c>
      <c r="I89" s="8">
        <v>0</v>
      </c>
      <c r="J89" s="14">
        <v>7.4999999999999997E-3</v>
      </c>
      <c r="K89" s="3" t="s">
        <v>577</v>
      </c>
      <c r="L89" s="5" t="str">
        <f>HYPERLINK("https://docfinder.bnpparibas-am.com/api/files/1c1dd667-5d98-4fbc-872d-44b615b2dc8c/5120","KID")</f>
        <v>KID</v>
      </c>
    </row>
    <row r="90" spans="1:12" ht="45" x14ac:dyDescent="0.25">
      <c r="A90" s="9" t="s">
        <v>626</v>
      </c>
      <c r="B90" t="s">
        <v>625</v>
      </c>
      <c r="C90" s="7" t="s">
        <v>11</v>
      </c>
      <c r="D90" s="7" t="s">
        <v>62</v>
      </c>
      <c r="E90" s="7" t="s">
        <v>25</v>
      </c>
      <c r="F90" s="7" t="s">
        <v>13</v>
      </c>
      <c r="G90" s="7" t="s">
        <v>14</v>
      </c>
      <c r="H90" s="10" t="s">
        <v>96</v>
      </c>
      <c r="I90" s="11">
        <v>0</v>
      </c>
      <c r="J90" s="13">
        <v>7.4999999999999997E-3</v>
      </c>
      <c r="K90" s="7" t="s">
        <v>577</v>
      </c>
      <c r="L90" s="12" t="str">
        <f>HYPERLINK("https://api.bnpparibas-am.com/push-raw/doc-permalink/23470__KID_PRIIPS__CZE__SHARE__IP_CZ-FSE__CZE__---","KID")</f>
        <v>KID</v>
      </c>
    </row>
    <row r="91" spans="1:12" s="2" customFormat="1" ht="45" x14ac:dyDescent="0.25">
      <c r="A91" s="6" t="s">
        <v>624</v>
      </c>
      <c r="B91" s="2" t="s">
        <v>623</v>
      </c>
      <c r="C91" s="3" t="s">
        <v>11</v>
      </c>
      <c r="D91" s="3" t="s">
        <v>62</v>
      </c>
      <c r="E91" s="3" t="s">
        <v>25</v>
      </c>
      <c r="F91" s="3" t="s">
        <v>13</v>
      </c>
      <c r="G91" s="3" t="s">
        <v>14</v>
      </c>
      <c r="H91" s="4" t="s">
        <v>96</v>
      </c>
      <c r="I91" s="8">
        <v>0</v>
      </c>
      <c r="J91" s="14">
        <v>7.4999999999999997E-3</v>
      </c>
      <c r="K91" s="3" t="s">
        <v>577</v>
      </c>
      <c r="L91" s="5" t="str">
        <f>HYPERLINK("https://api.bnpparibas-am.com/push-raw/doc-permalink/13141__KID_PRIIPS__CZE__SHARE__IP_CZ-FSE__CZE__---","KID")</f>
        <v>KID</v>
      </c>
    </row>
    <row r="92" spans="1:12" ht="45" x14ac:dyDescent="0.25">
      <c r="A92" s="9" t="s">
        <v>622</v>
      </c>
      <c r="B92" t="s">
        <v>621</v>
      </c>
      <c r="C92" s="7" t="s">
        <v>11</v>
      </c>
      <c r="D92" s="7" t="s">
        <v>62</v>
      </c>
      <c r="E92" s="7" t="s">
        <v>25</v>
      </c>
      <c r="F92" s="7" t="s">
        <v>13</v>
      </c>
      <c r="G92" s="7" t="s">
        <v>14</v>
      </c>
      <c r="H92" s="10" t="s">
        <v>96</v>
      </c>
      <c r="I92" s="11">
        <v>0</v>
      </c>
      <c r="J92" s="13">
        <v>8.7500000000000008E-3</v>
      </c>
      <c r="K92" s="7" t="s">
        <v>577</v>
      </c>
      <c r="L92" s="12" t="str">
        <f>HYPERLINK("https://docfinder.bnpparibas-am.com/api/files/f94cf53e-01ae-496e-b4d0-8ad644083456/3584","KID")</f>
        <v>KID</v>
      </c>
    </row>
    <row r="93" spans="1:12" s="2" customFormat="1" ht="45" x14ac:dyDescent="0.25">
      <c r="A93" s="6" t="s">
        <v>620</v>
      </c>
      <c r="B93" s="2" t="s">
        <v>619</v>
      </c>
      <c r="C93" s="3" t="s">
        <v>11</v>
      </c>
      <c r="D93" s="3" t="s">
        <v>62</v>
      </c>
      <c r="E93" s="3" t="s">
        <v>25</v>
      </c>
      <c r="F93" s="3" t="s">
        <v>13</v>
      </c>
      <c r="G93" s="3" t="s">
        <v>14</v>
      </c>
      <c r="H93" s="4" t="s">
        <v>96</v>
      </c>
      <c r="I93" s="8">
        <v>0</v>
      </c>
      <c r="J93" s="14">
        <v>8.7500000000000008E-3</v>
      </c>
      <c r="K93" s="3" t="s">
        <v>577</v>
      </c>
      <c r="L93" s="5" t="str">
        <f>HYPERLINK("https://api.bnpparibas-am.com/push-raw/doc-permalink/25354__KID_PRIIPS__CZE__SHARE__IP_CZ-FSE__CZE__---","KID")</f>
        <v>KID</v>
      </c>
    </row>
    <row r="94" spans="1:12" ht="45" x14ac:dyDescent="0.25">
      <c r="A94" s="9" t="s">
        <v>618</v>
      </c>
      <c r="B94" t="s">
        <v>617</v>
      </c>
      <c r="C94" s="7" t="s">
        <v>11</v>
      </c>
      <c r="D94" s="7" t="s">
        <v>62</v>
      </c>
      <c r="E94" s="7" t="s">
        <v>25</v>
      </c>
      <c r="F94" s="7" t="s">
        <v>13</v>
      </c>
      <c r="G94" s="7" t="s">
        <v>14</v>
      </c>
      <c r="H94" s="10" t="s">
        <v>96</v>
      </c>
      <c r="I94" s="11">
        <v>0</v>
      </c>
      <c r="J94" s="13">
        <v>7.4999999999999997E-3</v>
      </c>
      <c r="K94" s="7" t="s">
        <v>577</v>
      </c>
      <c r="L94" s="12" t="str">
        <f>HYPERLINK("https://api.bnpparibas-am.com/push-raw/doc-permalink/13406__KID_PRIIPS__CZE__SHARE__IP_CZ-FSE__CZE__---","KID")</f>
        <v>KID</v>
      </c>
    </row>
    <row r="95" spans="1:12" s="2" customFormat="1" ht="45" x14ac:dyDescent="0.25">
      <c r="A95" s="6" t="s">
        <v>616</v>
      </c>
      <c r="B95" s="2" t="s">
        <v>615</v>
      </c>
      <c r="C95" s="3" t="s">
        <v>11</v>
      </c>
      <c r="D95" s="3" t="s">
        <v>62</v>
      </c>
      <c r="E95" s="3" t="s">
        <v>25</v>
      </c>
      <c r="F95" s="3" t="s">
        <v>13</v>
      </c>
      <c r="G95" s="3" t="s">
        <v>14</v>
      </c>
      <c r="H95" s="4" t="s">
        <v>96</v>
      </c>
      <c r="I95" s="8">
        <v>0</v>
      </c>
      <c r="J95" s="14">
        <v>7.4999999999999997E-3</v>
      </c>
      <c r="K95" s="3" t="s">
        <v>577</v>
      </c>
      <c r="L95" s="5" t="str">
        <f>HYPERLINK("https://api.bnpparibas-am.com/push-raw/doc-permalink/13336__KID_PRIIPS__CZE__SHARE__IP_CZ-FSE__CZE__---","KID")</f>
        <v>KID</v>
      </c>
    </row>
    <row r="96" spans="1:12" ht="45" x14ac:dyDescent="0.25">
      <c r="A96" s="9" t="s">
        <v>614</v>
      </c>
      <c r="B96" t="s">
        <v>613</v>
      </c>
      <c r="C96" s="7" t="s">
        <v>11</v>
      </c>
      <c r="D96" s="7" t="s">
        <v>62</v>
      </c>
      <c r="E96" s="7" t="s">
        <v>12</v>
      </c>
      <c r="F96" s="7" t="s">
        <v>13</v>
      </c>
      <c r="G96" s="7" t="s">
        <v>14</v>
      </c>
      <c r="H96" s="10" t="s">
        <v>22</v>
      </c>
      <c r="I96" s="11">
        <v>0</v>
      </c>
      <c r="J96" s="13">
        <v>4.0000000000000001E-3</v>
      </c>
      <c r="K96" s="7" t="s">
        <v>577</v>
      </c>
      <c r="L96" s="12" t="str">
        <f>HYPERLINK("https://docfinder.bnpparibas-am.com/api/files/dfba7ee8-eb70-42c0-95eb-049c50c8d16a/5632","KID")</f>
        <v>KID</v>
      </c>
    </row>
    <row r="97" spans="1:12" s="2" customFormat="1" ht="45" x14ac:dyDescent="0.25">
      <c r="A97" s="6" t="s">
        <v>612</v>
      </c>
      <c r="B97" s="2" t="s">
        <v>611</v>
      </c>
      <c r="C97" s="3" t="s">
        <v>11</v>
      </c>
      <c r="D97" s="3" t="s">
        <v>62</v>
      </c>
      <c r="E97" s="3" t="s">
        <v>25</v>
      </c>
      <c r="F97" s="3" t="s">
        <v>13</v>
      </c>
      <c r="G97" s="3" t="s">
        <v>14</v>
      </c>
      <c r="H97" s="4" t="s">
        <v>67</v>
      </c>
      <c r="I97" s="8">
        <v>0</v>
      </c>
      <c r="J97" s="14">
        <v>7.4999999999999997E-3</v>
      </c>
      <c r="K97" s="3" t="s">
        <v>577</v>
      </c>
      <c r="L97" s="5" t="str">
        <f>HYPERLINK("https://api.bnpparibas-am.com/push-raw/doc-permalink/13396__KID_PRIIPS__CZE__SHARE__IP_CZ-FSE__CZE__---","KID")</f>
        <v>KID</v>
      </c>
    </row>
    <row r="98" spans="1:12" ht="45" x14ac:dyDescent="0.25">
      <c r="A98" s="9" t="s">
        <v>610</v>
      </c>
      <c r="B98" t="s">
        <v>609</v>
      </c>
      <c r="C98" s="7" t="s">
        <v>11</v>
      </c>
      <c r="D98" s="7" t="s">
        <v>62</v>
      </c>
      <c r="E98" s="7" t="s">
        <v>25</v>
      </c>
      <c r="F98" s="7" t="s">
        <v>13</v>
      </c>
      <c r="G98" s="7" t="s">
        <v>14</v>
      </c>
      <c r="H98" s="10" t="s">
        <v>67</v>
      </c>
      <c r="I98" s="11">
        <v>0</v>
      </c>
      <c r="J98" s="13">
        <v>8.7500000000000008E-3</v>
      </c>
      <c r="K98" s="7" t="s">
        <v>577</v>
      </c>
      <c r="L98" s="12" t="str">
        <f>HYPERLINK("api.bnpparibas-am.com/push-raw/doc-permalink/3824__KID_PRIIPS__CZE__SHARE__IP_CZ-FSE__CZE__---","KID")</f>
        <v>KID</v>
      </c>
    </row>
    <row r="99" spans="1:12" s="2" customFormat="1" ht="45" x14ac:dyDescent="0.25">
      <c r="A99" s="6" t="s">
        <v>608</v>
      </c>
      <c r="B99" s="2" t="s">
        <v>607</v>
      </c>
      <c r="C99" s="3" t="s">
        <v>11</v>
      </c>
      <c r="D99" s="3" t="s">
        <v>62</v>
      </c>
      <c r="E99" s="3" t="s">
        <v>25</v>
      </c>
      <c r="F99" s="3" t="s">
        <v>13</v>
      </c>
      <c r="G99" s="3" t="s">
        <v>14</v>
      </c>
      <c r="H99" s="4" t="s">
        <v>96</v>
      </c>
      <c r="I99" s="8">
        <v>0</v>
      </c>
      <c r="J99" s="14">
        <v>7.4999999999999997E-3</v>
      </c>
      <c r="K99" s="3" t="s">
        <v>577</v>
      </c>
      <c r="L99" s="5" t="str">
        <f>HYPERLINK("https://api.bnpparibas-am.com/push-raw/doc-permalink/4236__KID_PRIIPS__CZE__SHARE__IP_CZ-FSE__CZE__---","KID")</f>
        <v>KID</v>
      </c>
    </row>
    <row r="100" spans="1:12" ht="45" x14ac:dyDescent="0.25">
      <c r="A100" s="9" t="s">
        <v>606</v>
      </c>
      <c r="B100" t="s">
        <v>605</v>
      </c>
      <c r="C100" s="7" t="s">
        <v>11</v>
      </c>
      <c r="D100" s="7" t="s">
        <v>62</v>
      </c>
      <c r="E100" s="7" t="s">
        <v>128</v>
      </c>
      <c r="F100" s="7" t="s">
        <v>13</v>
      </c>
      <c r="G100" s="7" t="s">
        <v>14</v>
      </c>
      <c r="H100" s="10" t="s">
        <v>26</v>
      </c>
      <c r="I100" s="11">
        <v>0</v>
      </c>
      <c r="J100" s="13">
        <v>6.0000000000000001E-3</v>
      </c>
      <c r="K100" s="7" t="s">
        <v>577</v>
      </c>
      <c r="L100" s="12" t="str">
        <f>HYPERLINK("https://api.bnpparibas-am.com/push-raw/doc-permalink/13094__KID_PRIIPS__CZE__SHARE__IP_CZ-FSE__CZE__---","KID")</f>
        <v>KID</v>
      </c>
    </row>
    <row r="101" spans="1:12" s="2" customFormat="1" ht="45" x14ac:dyDescent="0.25">
      <c r="A101" s="6" t="s">
        <v>604</v>
      </c>
      <c r="B101" s="2" t="s">
        <v>603</v>
      </c>
      <c r="C101" s="3" t="s">
        <v>11</v>
      </c>
      <c r="D101" s="3" t="s">
        <v>62</v>
      </c>
      <c r="E101" s="3" t="s">
        <v>128</v>
      </c>
      <c r="F101" s="3" t="s">
        <v>13</v>
      </c>
      <c r="G101" s="3" t="s">
        <v>14</v>
      </c>
      <c r="H101" s="4" t="s">
        <v>26</v>
      </c>
      <c r="I101" s="8">
        <v>0</v>
      </c>
      <c r="J101" s="14">
        <v>6.0000000000000001E-3</v>
      </c>
      <c r="K101" s="3" t="s">
        <v>577</v>
      </c>
      <c r="L101" s="5" t="str">
        <f>HYPERLINK("https://docfinder.bnpparibas-am.com/api/files/5723b80a-3a38-4715-8431-b006b2af8510/6144","KID")</f>
        <v>KID</v>
      </c>
    </row>
    <row r="102" spans="1:12" ht="45" x14ac:dyDescent="0.25">
      <c r="A102" s="9" t="s">
        <v>602</v>
      </c>
      <c r="B102" t="s">
        <v>601</v>
      </c>
      <c r="C102" s="7" t="s">
        <v>11</v>
      </c>
      <c r="D102" s="7" t="s">
        <v>62</v>
      </c>
      <c r="E102" s="7" t="s">
        <v>25</v>
      </c>
      <c r="F102" s="7" t="s">
        <v>13</v>
      </c>
      <c r="G102" s="7" t="s">
        <v>14</v>
      </c>
      <c r="H102" s="10" t="s">
        <v>96</v>
      </c>
      <c r="I102" s="11">
        <v>0</v>
      </c>
      <c r="J102" s="13">
        <v>7.4999999999999997E-3</v>
      </c>
      <c r="K102" s="7" t="s">
        <v>577</v>
      </c>
      <c r="L102" s="12" t="str">
        <f>HYPERLINK("https://api.bnpparibas-am.com/push-raw/doc-permalink/19365__KID_PRIIPS__CZE__SHARE__IP_CZ-FSE__CZE__---","KID")</f>
        <v>KID</v>
      </c>
    </row>
    <row r="103" spans="1:12" s="2" customFormat="1" ht="45" x14ac:dyDescent="0.25">
      <c r="A103" s="6" t="s">
        <v>600</v>
      </c>
      <c r="B103" s="2" t="s">
        <v>599</v>
      </c>
      <c r="C103" s="3" t="s">
        <v>11</v>
      </c>
      <c r="D103" s="3" t="s">
        <v>62</v>
      </c>
      <c r="E103" s="3" t="s">
        <v>25</v>
      </c>
      <c r="F103" s="3" t="s">
        <v>13</v>
      </c>
      <c r="G103" s="3" t="s">
        <v>14</v>
      </c>
      <c r="H103" s="4" t="s">
        <v>96</v>
      </c>
      <c r="I103" s="8">
        <v>0</v>
      </c>
      <c r="J103" s="14">
        <v>7.4999999999999997E-3</v>
      </c>
      <c r="K103" s="3" t="s">
        <v>577</v>
      </c>
      <c r="L103" s="5" t="str">
        <f>HYPERLINK("https://api.bnpparibas-am.com/push-raw/doc-permalink/13158__KID_PRIIPS__CZE__SHARE__IP_CZ-FSE__CZE__---","KID")</f>
        <v>KID</v>
      </c>
    </row>
    <row r="104" spans="1:12" ht="45" x14ac:dyDescent="0.25">
      <c r="A104" s="9" t="s">
        <v>598</v>
      </c>
      <c r="B104" t="s">
        <v>597</v>
      </c>
      <c r="C104" s="7" t="s">
        <v>11</v>
      </c>
      <c r="D104" s="7" t="s">
        <v>62</v>
      </c>
      <c r="E104" s="7" t="s">
        <v>596</v>
      </c>
      <c r="F104" s="7" t="s">
        <v>13</v>
      </c>
      <c r="G104" s="7" t="s">
        <v>14</v>
      </c>
      <c r="H104" s="10" t="s">
        <v>96</v>
      </c>
      <c r="I104" s="11">
        <v>0</v>
      </c>
      <c r="J104" s="13">
        <v>7.4999999999999997E-3</v>
      </c>
      <c r="K104" s="7" t="s">
        <v>577</v>
      </c>
      <c r="L104" s="12" t="str">
        <f>HYPERLINK("https://api.bnpparibas-am.com/push-raw/doc-permalink/3777__KID_PRIIPS__CZE__SHARE__IP_CZ-FSE__CZE__---","KID")</f>
        <v>KID</v>
      </c>
    </row>
    <row r="105" spans="1:12" s="2" customFormat="1" ht="45" x14ac:dyDescent="0.25">
      <c r="A105" s="6" t="s">
        <v>595</v>
      </c>
      <c r="B105" s="2" t="s">
        <v>594</v>
      </c>
      <c r="C105" s="3" t="s">
        <v>11</v>
      </c>
      <c r="D105" s="3" t="s">
        <v>62</v>
      </c>
      <c r="E105" s="3" t="s">
        <v>25</v>
      </c>
      <c r="F105" s="3" t="s">
        <v>13</v>
      </c>
      <c r="G105" s="3" t="s">
        <v>14</v>
      </c>
      <c r="H105" s="4" t="s">
        <v>96</v>
      </c>
      <c r="I105" s="8">
        <v>0</v>
      </c>
      <c r="J105" s="14">
        <v>9.2499999999999995E-3</v>
      </c>
      <c r="K105" s="3" t="s">
        <v>577</v>
      </c>
      <c r="L105" s="5" t="str">
        <f>HYPERLINK("https://api.bnpparibas-am.com/push-raw/doc-permalink/2520__KID_PRIIPS__CZE__SHARE__IP_CZ-FSE__CZE__---","KID")</f>
        <v>KID</v>
      </c>
    </row>
    <row r="106" spans="1:12" ht="45" x14ac:dyDescent="0.25">
      <c r="A106" s="9" t="s">
        <v>593</v>
      </c>
      <c r="B106" t="s">
        <v>592</v>
      </c>
      <c r="C106" s="7" t="s">
        <v>11</v>
      </c>
      <c r="D106" s="7" t="s">
        <v>62</v>
      </c>
      <c r="E106" s="7" t="s">
        <v>25</v>
      </c>
      <c r="F106" s="7" t="s">
        <v>13</v>
      </c>
      <c r="G106" s="7" t="s">
        <v>14</v>
      </c>
      <c r="H106" s="10" t="s">
        <v>67</v>
      </c>
      <c r="I106" s="11">
        <v>0</v>
      </c>
      <c r="J106" s="13">
        <v>7.4999999999999997E-3</v>
      </c>
      <c r="K106" s="7" t="s">
        <v>577</v>
      </c>
      <c r="L106" s="12" t="str">
        <f>HYPERLINK("https://api.bnpparibas-am.com/push-raw/doc-permalink/13041__KID_PRIIPS__CZE__SHARE__IP_CZ-FSE__CZE__---","KID")</f>
        <v>KID</v>
      </c>
    </row>
    <row r="107" spans="1:12" s="2" customFormat="1" ht="45" x14ac:dyDescent="0.25">
      <c r="A107" s="6" t="s">
        <v>591</v>
      </c>
      <c r="B107" s="2" t="s">
        <v>590</v>
      </c>
      <c r="C107" s="3" t="s">
        <v>11</v>
      </c>
      <c r="D107" s="3" t="s">
        <v>62</v>
      </c>
      <c r="E107" s="3" t="s">
        <v>25</v>
      </c>
      <c r="F107" s="3" t="s">
        <v>13</v>
      </c>
      <c r="G107" s="3" t="s">
        <v>14</v>
      </c>
      <c r="H107" s="4" t="s">
        <v>67</v>
      </c>
      <c r="I107" s="8">
        <v>0</v>
      </c>
      <c r="J107" s="14">
        <v>7.4999999999999997E-3</v>
      </c>
      <c r="K107" s="3" t="s">
        <v>577</v>
      </c>
      <c r="L107" s="5" t="str">
        <f>HYPERLINK("https://api.bnpparibas-am.com/push-raw/doc-permalink/13040__KID_PRIIPS__CZE__SHARE__IP_CZ-FSE__CZE__---","KID")</f>
        <v>KID</v>
      </c>
    </row>
    <row r="108" spans="1:12" ht="45" x14ac:dyDescent="0.25">
      <c r="A108" s="9" t="s">
        <v>589</v>
      </c>
      <c r="B108" t="s">
        <v>588</v>
      </c>
      <c r="C108" s="7" t="s">
        <v>11</v>
      </c>
      <c r="D108" s="7" t="s">
        <v>62</v>
      </c>
      <c r="E108" s="7" t="s">
        <v>25</v>
      </c>
      <c r="F108" s="7" t="s">
        <v>13</v>
      </c>
      <c r="G108" s="7" t="s">
        <v>14</v>
      </c>
      <c r="H108" s="10" t="s">
        <v>96</v>
      </c>
      <c r="I108" s="11">
        <v>0</v>
      </c>
      <c r="J108" s="13">
        <v>8.7500000000000008E-3</v>
      </c>
      <c r="K108" s="7" t="s">
        <v>577</v>
      </c>
      <c r="L108" s="12" t="str">
        <f>HYPERLINK("api.bnpparibas-am.com/push-raw/doc-permalink/13055__KID_PRIIPS__CZE__SHARE__IP_CZ-FSE__CZE__---","KID")</f>
        <v>KID</v>
      </c>
    </row>
    <row r="109" spans="1:12" s="2" customFormat="1" ht="45" x14ac:dyDescent="0.25">
      <c r="A109" s="6" t="s">
        <v>587</v>
      </c>
      <c r="B109" s="2" t="s">
        <v>586</v>
      </c>
      <c r="C109" s="3" t="s">
        <v>11</v>
      </c>
      <c r="D109" s="3" t="s">
        <v>62</v>
      </c>
      <c r="E109" s="3" t="s">
        <v>12</v>
      </c>
      <c r="F109" s="3" t="s">
        <v>13</v>
      </c>
      <c r="G109" s="3" t="s">
        <v>14</v>
      </c>
      <c r="H109" s="4" t="s">
        <v>15</v>
      </c>
      <c r="I109" s="8">
        <v>0</v>
      </c>
      <c r="J109" s="14">
        <v>3.7499999999999999E-3</v>
      </c>
      <c r="K109" s="3" t="s">
        <v>577</v>
      </c>
      <c r="L109" s="5" t="str">
        <f>HYPERLINK("https://docfinder.bnpparibas-am.com/api/files/d239f6ab-b0ff-48a6-b981-6be2f7cf3ef3/5120","KID")</f>
        <v>KID</v>
      </c>
    </row>
    <row r="110" spans="1:12" ht="45" x14ac:dyDescent="0.25">
      <c r="A110" s="9" t="s">
        <v>585</v>
      </c>
      <c r="B110" t="s">
        <v>584</v>
      </c>
      <c r="C110" s="7" t="s">
        <v>11</v>
      </c>
      <c r="D110" s="7" t="s">
        <v>62</v>
      </c>
      <c r="E110" s="7" t="s">
        <v>25</v>
      </c>
      <c r="F110" s="7" t="s">
        <v>13</v>
      </c>
      <c r="G110" s="7" t="s">
        <v>14</v>
      </c>
      <c r="H110" s="10" t="s">
        <v>26</v>
      </c>
      <c r="I110" s="11">
        <v>0</v>
      </c>
      <c r="J110" s="13">
        <v>7.4999999999999997E-3</v>
      </c>
      <c r="K110" s="7" t="s">
        <v>577</v>
      </c>
      <c r="L110" s="12" t="str">
        <f>HYPERLINK("https://api.bnpparibas-am.com/push-raw/doc-permalink/30084__KID_PRIIPS__CZE__SHARE__IP_CZ-FSE__CZE__---","KID")</f>
        <v>KID</v>
      </c>
    </row>
    <row r="111" spans="1:12" s="2" customFormat="1" ht="45" x14ac:dyDescent="0.25">
      <c r="A111" s="6" t="s">
        <v>583</v>
      </c>
      <c r="B111" s="2" t="s">
        <v>582</v>
      </c>
      <c r="C111" s="3" t="s">
        <v>11</v>
      </c>
      <c r="D111" s="3" t="s">
        <v>62</v>
      </c>
      <c r="E111" s="3" t="s">
        <v>25</v>
      </c>
      <c r="F111" s="3" t="s">
        <v>13</v>
      </c>
      <c r="G111" s="3" t="s">
        <v>14</v>
      </c>
      <c r="H111" s="4" t="s">
        <v>67</v>
      </c>
      <c r="I111" s="8">
        <v>0</v>
      </c>
      <c r="J111" s="14">
        <v>7.4999999999999997E-3</v>
      </c>
      <c r="K111" s="3" t="s">
        <v>577</v>
      </c>
      <c r="L111" s="5" t="str">
        <f>HYPERLINK("https://docfinder.bnpparibas-am.com/api/files/9d72af7d-7959-403d-869b-ee5688be6625/512","KID")</f>
        <v>KID</v>
      </c>
    </row>
    <row r="112" spans="1:12" ht="45" x14ac:dyDescent="0.25">
      <c r="A112" s="9" t="s">
        <v>581</v>
      </c>
      <c r="B112" t="s">
        <v>580</v>
      </c>
      <c r="C112" s="7" t="s">
        <v>11</v>
      </c>
      <c r="D112" s="7" t="s">
        <v>62</v>
      </c>
      <c r="E112" s="7" t="s">
        <v>25</v>
      </c>
      <c r="F112" s="7" t="s">
        <v>13</v>
      </c>
      <c r="G112" s="7" t="s">
        <v>14</v>
      </c>
      <c r="H112" s="10" t="s">
        <v>26</v>
      </c>
      <c r="I112" s="11">
        <v>0</v>
      </c>
      <c r="J112" s="13">
        <v>7.4999999999999997E-3</v>
      </c>
      <c r="K112" s="7" t="s">
        <v>577</v>
      </c>
      <c r="L112" s="12" t="str">
        <f>HYPERLINK("https://docfinder.bnpparibas-am.com/api/files/61497bea-386b-4d73-ae96-53925105d2bd/1024","KID")</f>
        <v>KID</v>
      </c>
    </row>
    <row r="113" spans="1:12" s="2" customFormat="1" ht="45" x14ac:dyDescent="0.25">
      <c r="A113" s="6" t="s">
        <v>579</v>
      </c>
      <c r="B113" s="2" t="s">
        <v>578</v>
      </c>
      <c r="C113" s="3" t="s">
        <v>11</v>
      </c>
      <c r="D113" s="3" t="s">
        <v>62</v>
      </c>
      <c r="E113" s="3" t="s">
        <v>25</v>
      </c>
      <c r="F113" s="3" t="s">
        <v>13</v>
      </c>
      <c r="G113" s="3" t="s">
        <v>14</v>
      </c>
      <c r="H113" s="4" t="s">
        <v>96</v>
      </c>
      <c r="I113" s="8">
        <v>0</v>
      </c>
      <c r="J113" s="14">
        <v>8.7500000000000008E-3</v>
      </c>
      <c r="K113" s="3" t="s">
        <v>577</v>
      </c>
      <c r="L113" s="5" t="str">
        <f>HYPERLINK("https://api.bnpparibas-am.com/push-raw/doc-permalink/28152__KID_PRIIPS__CZE__SHARE__IP_CZ-FSE__CZE__---","KID")</f>
        <v>KID</v>
      </c>
    </row>
    <row r="114" spans="1:12" ht="45" x14ac:dyDescent="0.25">
      <c r="A114" s="9" t="s">
        <v>443</v>
      </c>
      <c r="B114" t="s">
        <v>490</v>
      </c>
      <c r="C114" s="7" t="s">
        <v>11</v>
      </c>
      <c r="D114" s="7" t="s">
        <v>550</v>
      </c>
      <c r="E114" s="7" t="s">
        <v>25</v>
      </c>
      <c r="F114" s="7" t="s">
        <v>13</v>
      </c>
      <c r="G114" s="7" t="s">
        <v>14</v>
      </c>
      <c r="H114" s="10" t="s">
        <v>96</v>
      </c>
      <c r="I114" s="11" t="s">
        <v>553</v>
      </c>
      <c r="J114" s="13" t="s">
        <v>537</v>
      </c>
      <c r="K114" s="7" t="s">
        <v>549</v>
      </c>
      <c r="L114" s="12" t="str">
        <f>HYPERLINK("https://www.codyainvest.cz/file/sdff-get?id=8794","KID")</f>
        <v>KID</v>
      </c>
    </row>
    <row r="115" spans="1:12" s="2" customFormat="1" ht="45" x14ac:dyDescent="0.25">
      <c r="A115" s="6" t="s">
        <v>444</v>
      </c>
      <c r="B115" s="2" t="s">
        <v>491</v>
      </c>
      <c r="C115" s="3" t="s">
        <v>11</v>
      </c>
      <c r="D115" s="3" t="s">
        <v>550</v>
      </c>
      <c r="E115" s="3" t="s">
        <v>25</v>
      </c>
      <c r="F115" s="3" t="s">
        <v>13</v>
      </c>
      <c r="G115" s="3" t="s">
        <v>14</v>
      </c>
      <c r="H115" s="4" t="s">
        <v>96</v>
      </c>
      <c r="I115" s="8" t="s">
        <v>553</v>
      </c>
      <c r="J115" s="14" t="s">
        <v>537</v>
      </c>
      <c r="K115" s="3" t="s">
        <v>549</v>
      </c>
      <c r="L115" s="5" t="str">
        <f>HYPERLINK("https://www.codyainvest.cz/file/sdff-get?id=8795","KID")</f>
        <v>KID</v>
      </c>
    </row>
    <row r="116" spans="1:12" ht="45" x14ac:dyDescent="0.25">
      <c r="A116" s="9" t="s">
        <v>445</v>
      </c>
      <c r="B116" t="s">
        <v>492</v>
      </c>
      <c r="C116" s="7" t="s">
        <v>11</v>
      </c>
      <c r="D116" s="7" t="s">
        <v>550</v>
      </c>
      <c r="E116" s="7" t="s">
        <v>25</v>
      </c>
      <c r="F116" s="7" t="s">
        <v>13</v>
      </c>
      <c r="G116" s="7" t="s">
        <v>14</v>
      </c>
      <c r="H116" s="10" t="s">
        <v>96</v>
      </c>
      <c r="I116" s="11" t="s">
        <v>553</v>
      </c>
      <c r="J116" s="13" t="s">
        <v>537</v>
      </c>
      <c r="K116" s="7" t="s">
        <v>549</v>
      </c>
      <c r="L116" s="12" t="str">
        <f>HYPERLINK("https://www.codyainvest.cz/file/sdff-get?id=8796","KID")</f>
        <v>KID</v>
      </c>
    </row>
    <row r="117" spans="1:12" s="2" customFormat="1" ht="45" x14ac:dyDescent="0.25">
      <c r="A117" s="6" t="s">
        <v>446</v>
      </c>
      <c r="B117" s="2" t="s">
        <v>493</v>
      </c>
      <c r="C117" s="3" t="s">
        <v>11</v>
      </c>
      <c r="D117" s="3" t="s">
        <v>550</v>
      </c>
      <c r="E117" s="3" t="s">
        <v>25</v>
      </c>
      <c r="F117" s="3" t="s">
        <v>13</v>
      </c>
      <c r="G117" s="3" t="s">
        <v>14</v>
      </c>
      <c r="H117" s="4" t="s">
        <v>96</v>
      </c>
      <c r="I117" s="8" t="s">
        <v>553</v>
      </c>
      <c r="J117" s="14" t="s">
        <v>537</v>
      </c>
      <c r="K117" s="3" t="s">
        <v>549</v>
      </c>
      <c r="L117" s="5" t="str">
        <f>HYPERLINK("https://www.codyainvest.cz/file/sdff-get?id=8793","KID")</f>
        <v>KID</v>
      </c>
    </row>
    <row r="118" spans="1:12" ht="45" x14ac:dyDescent="0.25">
      <c r="A118" s="9" t="s">
        <v>447</v>
      </c>
      <c r="B118" t="s">
        <v>494</v>
      </c>
      <c r="C118" s="7" t="s">
        <v>11</v>
      </c>
      <c r="D118" s="7" t="s">
        <v>550</v>
      </c>
      <c r="E118" s="7" t="s">
        <v>25</v>
      </c>
      <c r="F118" s="7" t="s">
        <v>76</v>
      </c>
      <c r="G118" s="7" t="s">
        <v>14</v>
      </c>
      <c r="H118" s="10" t="s">
        <v>96</v>
      </c>
      <c r="I118" s="11" t="s">
        <v>554</v>
      </c>
      <c r="J118" s="13" t="s">
        <v>537</v>
      </c>
      <c r="K118" s="7" t="s">
        <v>549</v>
      </c>
      <c r="L118" s="12" t="str">
        <f>HYPERLINK("https://www.codyainvest.cz/file/sdff-get?id=5129","KID")</f>
        <v>KID</v>
      </c>
    </row>
    <row r="119" spans="1:12" s="2" customFormat="1" ht="45" x14ac:dyDescent="0.25">
      <c r="A119" s="6" t="s">
        <v>448</v>
      </c>
      <c r="B119" s="2" t="s">
        <v>495</v>
      </c>
      <c r="C119" s="3" t="s">
        <v>11</v>
      </c>
      <c r="D119" s="3" t="s">
        <v>550</v>
      </c>
      <c r="E119" s="3" t="s">
        <v>25</v>
      </c>
      <c r="F119" s="3" t="s">
        <v>76</v>
      </c>
      <c r="G119" s="3" t="s">
        <v>14</v>
      </c>
      <c r="H119" s="4" t="s">
        <v>96</v>
      </c>
      <c r="I119" s="8" t="s">
        <v>554</v>
      </c>
      <c r="J119" s="14" t="s">
        <v>537</v>
      </c>
      <c r="K119" s="3" t="s">
        <v>549</v>
      </c>
      <c r="L119" s="5" t="str">
        <f>HYPERLINK("https://www.codyainvest.cz/file/sdff-get?id=5130","KID")</f>
        <v>KID</v>
      </c>
    </row>
    <row r="120" spans="1:12" ht="45" x14ac:dyDescent="0.25">
      <c r="A120" s="9" t="s">
        <v>449</v>
      </c>
      <c r="B120" t="s">
        <v>496</v>
      </c>
      <c r="C120" s="7" t="s">
        <v>11</v>
      </c>
      <c r="D120" s="7" t="s">
        <v>550</v>
      </c>
      <c r="E120" s="7" t="s">
        <v>25</v>
      </c>
      <c r="F120" s="7" t="s">
        <v>76</v>
      </c>
      <c r="G120" s="7" t="s">
        <v>14</v>
      </c>
      <c r="H120" s="10" t="s">
        <v>96</v>
      </c>
      <c r="I120" s="11" t="s">
        <v>555</v>
      </c>
      <c r="J120" s="13" t="s">
        <v>537</v>
      </c>
      <c r="K120" s="7" t="s">
        <v>549</v>
      </c>
      <c r="L120" s="12" t="str">
        <f>HYPERLINK("https://www.codyainvest.cz/file/sdff-get?id=7559","KID")</f>
        <v>KID</v>
      </c>
    </row>
    <row r="121" spans="1:12" s="2" customFormat="1" ht="45" x14ac:dyDescent="0.25">
      <c r="A121" s="6" t="s">
        <v>450</v>
      </c>
      <c r="B121" s="2" t="s">
        <v>497</v>
      </c>
      <c r="C121" s="3" t="s">
        <v>11</v>
      </c>
      <c r="D121" s="3" t="s">
        <v>550</v>
      </c>
      <c r="E121" s="3" t="s">
        <v>25</v>
      </c>
      <c r="F121" s="3" t="s">
        <v>76</v>
      </c>
      <c r="G121" s="3" t="s">
        <v>14</v>
      </c>
      <c r="H121" s="4" t="s">
        <v>96</v>
      </c>
      <c r="I121" s="8" t="s">
        <v>555</v>
      </c>
      <c r="J121" s="14" t="s">
        <v>537</v>
      </c>
      <c r="K121" s="3" t="s">
        <v>549</v>
      </c>
      <c r="L121" s="5" t="str">
        <f>HYPERLINK("https://www.codyainvest.cz/file/sdff-get?id=7560","KID")</f>
        <v>KID</v>
      </c>
    </row>
    <row r="122" spans="1:12" ht="45" x14ac:dyDescent="0.25">
      <c r="A122" s="9" t="s">
        <v>451</v>
      </c>
      <c r="B122" t="s">
        <v>498</v>
      </c>
      <c r="C122" s="7" t="s">
        <v>11</v>
      </c>
      <c r="D122" s="7" t="s">
        <v>550</v>
      </c>
      <c r="E122" s="7" t="s">
        <v>25</v>
      </c>
      <c r="F122" s="7" t="s">
        <v>76</v>
      </c>
      <c r="G122" s="7" t="s">
        <v>14</v>
      </c>
      <c r="H122" s="10" t="s">
        <v>96</v>
      </c>
      <c r="I122" s="11" t="s">
        <v>556</v>
      </c>
      <c r="J122" s="13" t="s">
        <v>537</v>
      </c>
      <c r="K122" s="7" t="s">
        <v>549</v>
      </c>
      <c r="L122" s="12" t="str">
        <f>HYPERLINK("https://www.codyainvest.cz/file/sdff-get?id=5143","KID")</f>
        <v>KID</v>
      </c>
    </row>
    <row r="123" spans="1:12" s="2" customFormat="1" ht="45" x14ac:dyDescent="0.25">
      <c r="A123" s="6" t="s">
        <v>452</v>
      </c>
      <c r="B123" s="2" t="s">
        <v>499</v>
      </c>
      <c r="C123" s="3" t="s">
        <v>11</v>
      </c>
      <c r="D123" s="3" t="s">
        <v>550</v>
      </c>
      <c r="E123" s="3" t="s">
        <v>25</v>
      </c>
      <c r="F123" s="3" t="s">
        <v>76</v>
      </c>
      <c r="G123" s="3" t="s">
        <v>14</v>
      </c>
      <c r="H123" s="4" t="s">
        <v>96</v>
      </c>
      <c r="I123" s="8" t="s">
        <v>556</v>
      </c>
      <c r="J123" s="14" t="s">
        <v>537</v>
      </c>
      <c r="K123" s="3" t="s">
        <v>549</v>
      </c>
      <c r="L123" s="5" t="str">
        <f>HYPERLINK("https://www.codyainvest.cz/file/sdff-get?id=5144","KID")</f>
        <v>KID</v>
      </c>
    </row>
    <row r="124" spans="1:12" ht="45" x14ac:dyDescent="0.25">
      <c r="A124" s="9" t="s">
        <v>453</v>
      </c>
      <c r="B124" t="s">
        <v>500</v>
      </c>
      <c r="C124" s="7" t="s">
        <v>11</v>
      </c>
      <c r="D124" s="7" t="s">
        <v>550</v>
      </c>
      <c r="E124" s="7" t="s">
        <v>25</v>
      </c>
      <c r="F124" s="7" t="s">
        <v>76</v>
      </c>
      <c r="G124" s="7" t="s">
        <v>14</v>
      </c>
      <c r="H124" s="10" t="s">
        <v>96</v>
      </c>
      <c r="I124" s="11" t="s">
        <v>557</v>
      </c>
      <c r="J124" s="13" t="s">
        <v>538</v>
      </c>
      <c r="K124" s="7" t="s">
        <v>549</v>
      </c>
      <c r="L124" s="12" t="str">
        <f>HYPERLINK("https://www.codyainvest.cz/file/sdff-get?id=5134","KID")</f>
        <v>KID</v>
      </c>
    </row>
    <row r="125" spans="1:12" s="2" customFormat="1" ht="45" x14ac:dyDescent="0.25">
      <c r="A125" s="6" t="s">
        <v>454</v>
      </c>
      <c r="B125" s="2" t="s">
        <v>501</v>
      </c>
      <c r="C125" s="3" t="s">
        <v>11</v>
      </c>
      <c r="D125" s="3" t="s">
        <v>550</v>
      </c>
      <c r="E125" s="3" t="s">
        <v>25</v>
      </c>
      <c r="F125" s="3" t="s">
        <v>76</v>
      </c>
      <c r="G125" s="3" t="s">
        <v>14</v>
      </c>
      <c r="H125" s="4" t="s">
        <v>96</v>
      </c>
      <c r="I125" s="8" t="s">
        <v>557</v>
      </c>
      <c r="J125" s="14" t="s">
        <v>539</v>
      </c>
      <c r="K125" s="3" t="s">
        <v>549</v>
      </c>
      <c r="L125" s="5" t="str">
        <f>HYPERLINK("https://www.codyainvest.cz/file/sdff-get?id=5135","KID")</f>
        <v>KID</v>
      </c>
    </row>
    <row r="126" spans="1:12" ht="45" x14ac:dyDescent="0.25">
      <c r="A126" s="9" t="s">
        <v>455</v>
      </c>
      <c r="B126" t="s">
        <v>502</v>
      </c>
      <c r="C126" s="7" t="s">
        <v>11</v>
      </c>
      <c r="D126" s="7" t="s">
        <v>550</v>
      </c>
      <c r="E126" s="7" t="s">
        <v>25</v>
      </c>
      <c r="F126" s="7" t="s">
        <v>76</v>
      </c>
      <c r="G126" s="7" t="s">
        <v>14</v>
      </c>
      <c r="H126" s="10" t="s">
        <v>96</v>
      </c>
      <c r="I126" s="11" t="s">
        <v>558</v>
      </c>
      <c r="J126" s="13" t="s">
        <v>540</v>
      </c>
      <c r="K126" s="7" t="s">
        <v>549</v>
      </c>
      <c r="L126" s="12" t="str">
        <f>HYPERLINK("https://www.codyainvest.cz/file/sdff-get?id=9024","KID")</f>
        <v>KID</v>
      </c>
    </row>
    <row r="127" spans="1:12" s="2" customFormat="1" ht="45" x14ac:dyDescent="0.25">
      <c r="A127" s="6" t="s">
        <v>456</v>
      </c>
      <c r="B127" s="2" t="s">
        <v>503</v>
      </c>
      <c r="C127" s="3" t="s">
        <v>11</v>
      </c>
      <c r="D127" s="3" t="s">
        <v>550</v>
      </c>
      <c r="E127" s="3" t="s">
        <v>25</v>
      </c>
      <c r="F127" s="3" t="s">
        <v>76</v>
      </c>
      <c r="G127" s="3" t="s">
        <v>14</v>
      </c>
      <c r="H127" s="4" t="s">
        <v>96</v>
      </c>
      <c r="I127" s="8" t="s">
        <v>559</v>
      </c>
      <c r="J127" s="14" t="s">
        <v>537</v>
      </c>
      <c r="K127" s="3" t="s">
        <v>549</v>
      </c>
      <c r="L127" s="5" t="str">
        <f>HYPERLINK("https://www.codyainvest.cz/file/sdff-get?id=7307","KID")</f>
        <v>KID</v>
      </c>
    </row>
    <row r="128" spans="1:12" ht="45" x14ac:dyDescent="0.25">
      <c r="A128" s="9" t="s">
        <v>457</v>
      </c>
      <c r="B128" t="s">
        <v>504</v>
      </c>
      <c r="C128" s="7" t="s">
        <v>11</v>
      </c>
      <c r="D128" s="7" t="s">
        <v>550</v>
      </c>
      <c r="E128" s="7" t="s">
        <v>25</v>
      </c>
      <c r="F128" s="7" t="s">
        <v>76</v>
      </c>
      <c r="G128" s="7" t="s">
        <v>14</v>
      </c>
      <c r="H128" s="10" t="s">
        <v>96</v>
      </c>
      <c r="I128" s="11" t="s">
        <v>560</v>
      </c>
      <c r="J128" s="13" t="s">
        <v>537</v>
      </c>
      <c r="K128" s="7" t="s">
        <v>549</v>
      </c>
      <c r="L128" s="12" t="str">
        <f>HYPERLINK("https://www.codyainvest.cz/file/sdff-get?id=5907","KID")</f>
        <v>KID</v>
      </c>
    </row>
    <row r="129" spans="1:12" s="2" customFormat="1" ht="45" x14ac:dyDescent="0.25">
      <c r="A129" s="6" t="s">
        <v>458</v>
      </c>
      <c r="B129" s="2" t="s">
        <v>505</v>
      </c>
      <c r="C129" s="3" t="s">
        <v>11</v>
      </c>
      <c r="D129" s="3" t="s">
        <v>550</v>
      </c>
      <c r="E129" s="3" t="s">
        <v>25</v>
      </c>
      <c r="F129" s="3" t="s">
        <v>76</v>
      </c>
      <c r="G129" s="3" t="s">
        <v>14</v>
      </c>
      <c r="H129" s="4" t="s">
        <v>96</v>
      </c>
      <c r="I129" s="8" t="s">
        <v>561</v>
      </c>
      <c r="J129" s="14" t="s">
        <v>541</v>
      </c>
      <c r="K129" s="3" t="s">
        <v>549</v>
      </c>
      <c r="L129" s="5" t="str">
        <f>HYPERLINK("https://www.codyainvest.cz/file/sdff-get?id=5157","KID")</f>
        <v>KID</v>
      </c>
    </row>
    <row r="130" spans="1:12" ht="45" x14ac:dyDescent="0.25">
      <c r="A130" s="9" t="s">
        <v>459</v>
      </c>
      <c r="B130" t="s">
        <v>506</v>
      </c>
      <c r="C130" s="7" t="s">
        <v>11</v>
      </c>
      <c r="D130" s="7" t="s">
        <v>550</v>
      </c>
      <c r="E130" s="7" t="s">
        <v>25</v>
      </c>
      <c r="F130" s="7" t="s">
        <v>76</v>
      </c>
      <c r="G130" s="7" t="s">
        <v>14</v>
      </c>
      <c r="H130" s="10" t="s">
        <v>96</v>
      </c>
      <c r="I130" s="11" t="s">
        <v>562</v>
      </c>
      <c r="J130" s="13" t="s">
        <v>541</v>
      </c>
      <c r="K130" s="7" t="s">
        <v>549</v>
      </c>
      <c r="L130" s="12" t="str">
        <f>HYPERLINK("https://www.codyainvest.cz/file/sdff-get?id=5158","KID")</f>
        <v>KID</v>
      </c>
    </row>
    <row r="131" spans="1:12" s="2" customFormat="1" ht="45" x14ac:dyDescent="0.25">
      <c r="A131" s="6" t="s">
        <v>460</v>
      </c>
      <c r="B131" s="2" t="s">
        <v>507</v>
      </c>
      <c r="C131" s="3" t="s">
        <v>11</v>
      </c>
      <c r="D131" s="3" t="s">
        <v>550</v>
      </c>
      <c r="E131" s="3" t="s">
        <v>25</v>
      </c>
      <c r="F131" s="3" t="s">
        <v>76</v>
      </c>
      <c r="G131" s="3" t="s">
        <v>14</v>
      </c>
      <c r="H131" s="4" t="s">
        <v>96</v>
      </c>
      <c r="I131" s="8" t="s">
        <v>563</v>
      </c>
      <c r="J131" s="14" t="s">
        <v>537</v>
      </c>
      <c r="K131" s="3" t="s">
        <v>549</v>
      </c>
      <c r="L131" s="5" t="str">
        <f>HYPERLINK("https://www.codyainvest.cz/file/sdff-get?id=5139","KID")</f>
        <v>KID</v>
      </c>
    </row>
    <row r="132" spans="1:12" ht="45" x14ac:dyDescent="0.25">
      <c r="A132" s="9" t="s">
        <v>461</v>
      </c>
      <c r="B132" t="s">
        <v>508</v>
      </c>
      <c r="C132" s="7" t="s">
        <v>11</v>
      </c>
      <c r="D132" s="7" t="s">
        <v>550</v>
      </c>
      <c r="E132" s="7" t="s">
        <v>25</v>
      </c>
      <c r="F132" s="7" t="s">
        <v>76</v>
      </c>
      <c r="G132" s="7" t="s">
        <v>14</v>
      </c>
      <c r="H132" s="10" t="s">
        <v>96</v>
      </c>
      <c r="I132" s="11" t="s">
        <v>563</v>
      </c>
      <c r="J132" s="13" t="s">
        <v>537</v>
      </c>
      <c r="K132" s="7" t="s">
        <v>549</v>
      </c>
      <c r="L132" s="12" t="str">
        <f>HYPERLINK("https://www.codyainvest.cz/file/sdff-get?id=5140","KID")</f>
        <v>KID</v>
      </c>
    </row>
    <row r="133" spans="1:12" s="2" customFormat="1" ht="45" x14ac:dyDescent="0.25">
      <c r="A133" s="6" t="s">
        <v>462</v>
      </c>
      <c r="B133" s="2" t="s">
        <v>509</v>
      </c>
      <c r="C133" s="3" t="s">
        <v>11</v>
      </c>
      <c r="D133" s="3" t="s">
        <v>550</v>
      </c>
      <c r="E133" s="3" t="s">
        <v>25</v>
      </c>
      <c r="F133" s="3" t="s">
        <v>76</v>
      </c>
      <c r="G133" s="3" t="s">
        <v>14</v>
      </c>
      <c r="H133" s="4" t="s">
        <v>96</v>
      </c>
      <c r="I133" s="8" t="s">
        <v>564</v>
      </c>
      <c r="J133" s="14" t="s">
        <v>542</v>
      </c>
      <c r="K133" s="3" t="s">
        <v>549</v>
      </c>
      <c r="L133" s="5" t="str">
        <f>HYPERLINK("https://www.codyainvest.cz/file/sdff-get?id=7404","KID")</f>
        <v>KID</v>
      </c>
    </row>
    <row r="134" spans="1:12" ht="45" x14ac:dyDescent="0.25">
      <c r="A134" s="9" t="s">
        <v>463</v>
      </c>
      <c r="B134" t="s">
        <v>510</v>
      </c>
      <c r="C134" s="7" t="s">
        <v>11</v>
      </c>
      <c r="D134" s="7" t="s">
        <v>550</v>
      </c>
      <c r="E134" s="7" t="s">
        <v>25</v>
      </c>
      <c r="F134" s="7" t="s">
        <v>76</v>
      </c>
      <c r="G134" s="7" t="s">
        <v>14</v>
      </c>
      <c r="H134" s="10" t="s">
        <v>96</v>
      </c>
      <c r="I134" s="11" t="s">
        <v>564</v>
      </c>
      <c r="J134" s="13" t="s">
        <v>542</v>
      </c>
      <c r="K134" s="7" t="s">
        <v>549</v>
      </c>
      <c r="L134" s="12" t="str">
        <f>HYPERLINK("https://www.codyainvest.cz/file/sdff-get?id=7405","KID")</f>
        <v>KID</v>
      </c>
    </row>
    <row r="135" spans="1:12" s="2" customFormat="1" ht="45" x14ac:dyDescent="0.25">
      <c r="A135" s="6" t="s">
        <v>464</v>
      </c>
      <c r="B135" s="2" t="s">
        <v>511</v>
      </c>
      <c r="C135" s="3" t="s">
        <v>11</v>
      </c>
      <c r="D135" s="3" t="s">
        <v>550</v>
      </c>
      <c r="E135" s="3" t="s">
        <v>25</v>
      </c>
      <c r="F135" s="3" t="s">
        <v>76</v>
      </c>
      <c r="G135" s="3" t="s">
        <v>14</v>
      </c>
      <c r="H135" s="4" t="s">
        <v>96</v>
      </c>
      <c r="I135" s="8" t="s">
        <v>564</v>
      </c>
      <c r="J135" s="14" t="s">
        <v>542</v>
      </c>
      <c r="K135" s="3" t="s">
        <v>549</v>
      </c>
      <c r="L135" s="5" t="str">
        <f>HYPERLINK("https://www.codyainvest.cz/file/sdff-get?id=7407","KID")</f>
        <v>KID</v>
      </c>
    </row>
    <row r="136" spans="1:12" ht="45" x14ac:dyDescent="0.25">
      <c r="A136" s="9" t="s">
        <v>465</v>
      </c>
      <c r="B136" t="s">
        <v>512</v>
      </c>
      <c r="C136" s="7" t="s">
        <v>11</v>
      </c>
      <c r="D136" s="7" t="s">
        <v>550</v>
      </c>
      <c r="E136" s="7" t="s">
        <v>25</v>
      </c>
      <c r="F136" s="7" t="s">
        <v>76</v>
      </c>
      <c r="G136" s="7" t="s">
        <v>14</v>
      </c>
      <c r="H136" s="10" t="s">
        <v>96</v>
      </c>
      <c r="I136" s="11" t="s">
        <v>565</v>
      </c>
      <c r="J136" s="13" t="s">
        <v>542</v>
      </c>
      <c r="K136" s="7" t="s">
        <v>549</v>
      </c>
      <c r="L136" s="12" t="str">
        <f>HYPERLINK("https://www.codyainvest.cz/file/sdff-get?id=7408","KID")</f>
        <v>KID</v>
      </c>
    </row>
    <row r="137" spans="1:12" s="2" customFormat="1" ht="45" x14ac:dyDescent="0.25">
      <c r="A137" s="6" t="s">
        <v>466</v>
      </c>
      <c r="B137" s="2" t="s">
        <v>513</v>
      </c>
      <c r="C137" s="3" t="s">
        <v>11</v>
      </c>
      <c r="D137" s="3" t="s">
        <v>550</v>
      </c>
      <c r="E137" s="3" t="s">
        <v>25</v>
      </c>
      <c r="F137" s="3" t="s">
        <v>76</v>
      </c>
      <c r="G137" s="3" t="s">
        <v>14</v>
      </c>
      <c r="H137" s="4" t="s">
        <v>96</v>
      </c>
      <c r="I137" s="8">
        <v>0</v>
      </c>
      <c r="J137" s="14">
        <v>0</v>
      </c>
      <c r="K137" s="3" t="s">
        <v>549</v>
      </c>
      <c r="L137" s="5" t="str">
        <f>HYPERLINK("https://www.codyainvest.cz/file/sdff-get?id=9044","KID")</f>
        <v>KID</v>
      </c>
    </row>
    <row r="138" spans="1:12" ht="45" x14ac:dyDescent="0.25">
      <c r="A138" s="9" t="s">
        <v>467</v>
      </c>
      <c r="B138" t="s">
        <v>514</v>
      </c>
      <c r="C138" s="7" t="s">
        <v>11</v>
      </c>
      <c r="D138" s="7" t="s">
        <v>550</v>
      </c>
      <c r="E138" s="7" t="s">
        <v>25</v>
      </c>
      <c r="F138" s="7" t="s">
        <v>76</v>
      </c>
      <c r="G138" s="7" t="s">
        <v>14</v>
      </c>
      <c r="H138" s="10" t="s">
        <v>96</v>
      </c>
      <c r="I138" s="11">
        <v>0</v>
      </c>
      <c r="J138" s="13">
        <v>0</v>
      </c>
      <c r="K138" s="7" t="s">
        <v>549</v>
      </c>
      <c r="L138" s="12" t="str">
        <f>HYPERLINK("https://www.codyainvest.cz/file/sdff-get?id=9045","KID")</f>
        <v>KID</v>
      </c>
    </row>
    <row r="139" spans="1:12" s="2" customFormat="1" ht="45" x14ac:dyDescent="0.25">
      <c r="A139" s="6" t="s">
        <v>468</v>
      </c>
      <c r="B139" s="2" t="s">
        <v>515</v>
      </c>
      <c r="C139" s="3" t="s">
        <v>11</v>
      </c>
      <c r="D139" s="3" t="s">
        <v>550</v>
      </c>
      <c r="E139" s="3" t="s">
        <v>25</v>
      </c>
      <c r="F139" s="3" t="s">
        <v>76</v>
      </c>
      <c r="G139" s="3" t="s">
        <v>14</v>
      </c>
      <c r="H139" s="4" t="s">
        <v>96</v>
      </c>
      <c r="I139" s="8">
        <v>0</v>
      </c>
      <c r="J139" s="14">
        <v>0</v>
      </c>
      <c r="K139" s="3" t="s">
        <v>549</v>
      </c>
      <c r="L139" s="5" t="str">
        <f>HYPERLINK("https://www.codyainvest.cz/file/sdff-get?id=9046","KID")</f>
        <v>KID</v>
      </c>
    </row>
    <row r="140" spans="1:12" ht="45" x14ac:dyDescent="0.25">
      <c r="A140" s="9" t="s">
        <v>469</v>
      </c>
      <c r="B140" t="s">
        <v>516</v>
      </c>
      <c r="C140" s="7" t="s">
        <v>11</v>
      </c>
      <c r="D140" s="7" t="s">
        <v>550</v>
      </c>
      <c r="E140" s="7" t="s">
        <v>25</v>
      </c>
      <c r="F140" s="7" t="s">
        <v>76</v>
      </c>
      <c r="G140" s="7" t="s">
        <v>14</v>
      </c>
      <c r="H140" s="10" t="s">
        <v>96</v>
      </c>
      <c r="I140" s="11">
        <v>0</v>
      </c>
      <c r="J140" s="13" t="s">
        <v>540</v>
      </c>
      <c r="K140" s="7" t="s">
        <v>549</v>
      </c>
      <c r="L140" s="12" t="str">
        <f>HYPERLINK("https://www.codyainvest.cz/file/sdff-get?id=9047","KID")</f>
        <v>KID</v>
      </c>
    </row>
    <row r="141" spans="1:12" s="2" customFormat="1" ht="45" x14ac:dyDescent="0.25">
      <c r="A141" s="6" t="s">
        <v>470</v>
      </c>
      <c r="B141" s="2" t="s">
        <v>517</v>
      </c>
      <c r="C141" s="3" t="s">
        <v>11</v>
      </c>
      <c r="D141" s="3" t="s">
        <v>550</v>
      </c>
      <c r="E141" s="3" t="s">
        <v>25</v>
      </c>
      <c r="F141" s="3" t="s">
        <v>76</v>
      </c>
      <c r="G141" s="3" t="s">
        <v>14</v>
      </c>
      <c r="H141" s="4" t="s">
        <v>96</v>
      </c>
      <c r="I141" s="8" t="s">
        <v>566</v>
      </c>
      <c r="J141" s="14" t="s">
        <v>545</v>
      </c>
      <c r="K141" s="3" t="s">
        <v>549</v>
      </c>
      <c r="L141" s="5" t="str">
        <f>HYPERLINK("https://www.codyainvest.cz/file/sdff-get?id=6844","KID")</f>
        <v>KID</v>
      </c>
    </row>
    <row r="142" spans="1:12" ht="45" x14ac:dyDescent="0.25">
      <c r="A142" s="9" t="s">
        <v>471</v>
      </c>
      <c r="B142" t="s">
        <v>518</v>
      </c>
      <c r="C142" s="7" t="s">
        <v>11</v>
      </c>
      <c r="D142" s="7" t="s">
        <v>550</v>
      </c>
      <c r="E142" s="7" t="s">
        <v>25</v>
      </c>
      <c r="F142" s="7" t="s">
        <v>76</v>
      </c>
      <c r="G142" s="7" t="s">
        <v>14</v>
      </c>
      <c r="H142" s="10" t="s">
        <v>96</v>
      </c>
      <c r="I142" s="11" t="s">
        <v>567</v>
      </c>
      <c r="J142" s="13" t="s">
        <v>543</v>
      </c>
      <c r="K142" s="7" t="s">
        <v>549</v>
      </c>
      <c r="L142" s="12" t="str">
        <f>HYPERLINK("https://www.codyainvest.cz/file/sdff-get?id=9020","KID")</f>
        <v>KID</v>
      </c>
    </row>
    <row r="143" spans="1:12" s="2" customFormat="1" ht="45" x14ac:dyDescent="0.25">
      <c r="A143" s="6" t="s">
        <v>472</v>
      </c>
      <c r="B143" s="2" t="s">
        <v>519</v>
      </c>
      <c r="C143" s="3" t="s">
        <v>11</v>
      </c>
      <c r="D143" s="3" t="s">
        <v>550</v>
      </c>
      <c r="E143" s="3" t="s">
        <v>25</v>
      </c>
      <c r="F143" s="3" t="s">
        <v>76</v>
      </c>
      <c r="G143" s="3" t="s">
        <v>14</v>
      </c>
      <c r="H143" s="4" t="s">
        <v>96</v>
      </c>
      <c r="I143" s="8" t="s">
        <v>568</v>
      </c>
      <c r="J143" s="14" t="s">
        <v>543</v>
      </c>
      <c r="K143" s="3" t="s">
        <v>549</v>
      </c>
      <c r="L143" s="5" t="str">
        <f>HYPERLINK("https://www.codyainvest.cz/file/sdff-get?id=9021","KID")</f>
        <v>KID</v>
      </c>
    </row>
    <row r="144" spans="1:12" ht="45" x14ac:dyDescent="0.25">
      <c r="A144" s="9" t="s">
        <v>473</v>
      </c>
      <c r="B144" t="s">
        <v>520</v>
      </c>
      <c r="C144" s="7" t="s">
        <v>11</v>
      </c>
      <c r="D144" s="7" t="s">
        <v>550</v>
      </c>
      <c r="E144" s="7" t="s">
        <v>25</v>
      </c>
      <c r="F144" s="7" t="s">
        <v>76</v>
      </c>
      <c r="G144" s="7" t="s">
        <v>14</v>
      </c>
      <c r="H144" s="10" t="s">
        <v>96</v>
      </c>
      <c r="I144" s="11" t="s">
        <v>576</v>
      </c>
      <c r="J144" s="13" t="s">
        <v>537</v>
      </c>
      <c r="K144" s="7" t="s">
        <v>549</v>
      </c>
      <c r="L144" s="12" t="str">
        <f>HYPERLINK("https://www.codyainvest.cz/file/sdff-get?id=6248","KID")</f>
        <v>KID</v>
      </c>
    </row>
    <row r="145" spans="1:12" s="2" customFormat="1" ht="45" x14ac:dyDescent="0.25">
      <c r="A145" s="6" t="s">
        <v>474</v>
      </c>
      <c r="B145" s="2" t="s">
        <v>521</v>
      </c>
      <c r="C145" s="3" t="s">
        <v>11</v>
      </c>
      <c r="D145" s="3" t="s">
        <v>550</v>
      </c>
      <c r="E145" s="3" t="s">
        <v>25</v>
      </c>
      <c r="F145" s="3" t="s">
        <v>76</v>
      </c>
      <c r="G145" s="3" t="s">
        <v>14</v>
      </c>
      <c r="H145" s="4" t="s">
        <v>96</v>
      </c>
      <c r="I145" s="8" t="s">
        <v>569</v>
      </c>
      <c r="J145" s="14" t="s">
        <v>544</v>
      </c>
      <c r="K145" s="3" t="s">
        <v>549</v>
      </c>
      <c r="L145" s="5" t="str">
        <f>HYPERLINK("https://www.codyainvest.cz/file/sdff-get?id=8265","KID")</f>
        <v>KID</v>
      </c>
    </row>
    <row r="146" spans="1:12" ht="45" x14ac:dyDescent="0.25">
      <c r="A146" s="9" t="s">
        <v>475</v>
      </c>
      <c r="B146" t="s">
        <v>522</v>
      </c>
      <c r="C146" s="7" t="s">
        <v>11</v>
      </c>
      <c r="D146" s="7" t="s">
        <v>550</v>
      </c>
      <c r="E146" s="7" t="s">
        <v>25</v>
      </c>
      <c r="F146" s="7" t="s">
        <v>76</v>
      </c>
      <c r="G146" s="7" t="s">
        <v>14</v>
      </c>
      <c r="H146" s="10" t="s">
        <v>96</v>
      </c>
      <c r="I146" s="11" t="s">
        <v>569</v>
      </c>
      <c r="J146" s="13" t="s">
        <v>544</v>
      </c>
      <c r="K146" s="7" t="s">
        <v>549</v>
      </c>
      <c r="L146" s="12" t="str">
        <f>HYPERLINK("https://www.codyainvest.cz/file/sdff-get?id=8266","KID")</f>
        <v>KID</v>
      </c>
    </row>
    <row r="147" spans="1:12" s="2" customFormat="1" ht="45" x14ac:dyDescent="0.25">
      <c r="A147" s="6" t="s">
        <v>476</v>
      </c>
      <c r="B147" s="2" t="s">
        <v>523</v>
      </c>
      <c r="C147" s="3" t="s">
        <v>11</v>
      </c>
      <c r="D147" s="3" t="s">
        <v>550</v>
      </c>
      <c r="E147" s="3" t="s">
        <v>25</v>
      </c>
      <c r="F147" s="3" t="s">
        <v>76</v>
      </c>
      <c r="G147" s="3" t="s">
        <v>14</v>
      </c>
      <c r="H147" s="4" t="s">
        <v>96</v>
      </c>
      <c r="I147" s="8" t="s">
        <v>570</v>
      </c>
      <c r="J147" s="14" t="s">
        <v>540</v>
      </c>
      <c r="K147" s="3" t="s">
        <v>549</v>
      </c>
      <c r="L147" s="5" t="str">
        <f>HYPERLINK("https://www.codyainvest.cz/file/sdff-get?id=5763","KID")</f>
        <v>KID</v>
      </c>
    </row>
    <row r="148" spans="1:12" ht="45" x14ac:dyDescent="0.25">
      <c r="A148" s="9" t="s">
        <v>477</v>
      </c>
      <c r="B148" t="s">
        <v>524</v>
      </c>
      <c r="C148" s="7" t="s">
        <v>11</v>
      </c>
      <c r="D148" s="7" t="s">
        <v>550</v>
      </c>
      <c r="E148" s="7" t="s">
        <v>25</v>
      </c>
      <c r="F148" s="7" t="s">
        <v>76</v>
      </c>
      <c r="G148" s="7" t="s">
        <v>14</v>
      </c>
      <c r="H148" s="10" t="s">
        <v>96</v>
      </c>
      <c r="I148" s="11" t="s">
        <v>571</v>
      </c>
      <c r="J148" s="13" t="s">
        <v>545</v>
      </c>
      <c r="K148" s="7" t="s">
        <v>549</v>
      </c>
      <c r="L148" s="12" t="str">
        <f>HYPERLINK("https://www.codyainvest.cz/file/sdff-get?id=4497","KID")</f>
        <v>KID</v>
      </c>
    </row>
    <row r="149" spans="1:12" s="2" customFormat="1" ht="45" x14ac:dyDescent="0.25">
      <c r="A149" s="6" t="s">
        <v>478</v>
      </c>
      <c r="B149" s="2" t="s">
        <v>525</v>
      </c>
      <c r="C149" s="3" t="s">
        <v>11</v>
      </c>
      <c r="D149" s="3" t="s">
        <v>550</v>
      </c>
      <c r="E149" s="3" t="s">
        <v>25</v>
      </c>
      <c r="F149" s="3" t="s">
        <v>76</v>
      </c>
      <c r="G149" s="3" t="s">
        <v>14</v>
      </c>
      <c r="H149" s="4" t="s">
        <v>96</v>
      </c>
      <c r="I149" s="8" t="s">
        <v>571</v>
      </c>
      <c r="J149" s="14" t="s">
        <v>545</v>
      </c>
      <c r="K149" s="3" t="s">
        <v>549</v>
      </c>
      <c r="L149" s="5" t="str">
        <f>HYPERLINK("https://www.codyainvest.cz/file/sdff-get?id=4496","KID")</f>
        <v>KID</v>
      </c>
    </row>
    <row r="150" spans="1:12" ht="45" x14ac:dyDescent="0.25">
      <c r="A150" s="9" t="s">
        <v>479</v>
      </c>
      <c r="B150" t="s">
        <v>526</v>
      </c>
      <c r="C150" s="7" t="s">
        <v>11</v>
      </c>
      <c r="D150" s="7" t="s">
        <v>550</v>
      </c>
      <c r="E150" s="7" t="s">
        <v>25</v>
      </c>
      <c r="F150" s="7" t="s">
        <v>76</v>
      </c>
      <c r="G150" s="7" t="s">
        <v>14</v>
      </c>
      <c r="H150" s="10" t="s">
        <v>96</v>
      </c>
      <c r="I150" s="11" t="s">
        <v>571</v>
      </c>
      <c r="J150" s="13" t="s">
        <v>546</v>
      </c>
      <c r="K150" s="7" t="s">
        <v>549</v>
      </c>
      <c r="L150" s="12" t="str">
        <f>HYPERLINK("https://www.codyainvest.cz/file/sdff-get?id=4495","KID")</f>
        <v>KID</v>
      </c>
    </row>
    <row r="151" spans="1:12" s="2" customFormat="1" ht="45" x14ac:dyDescent="0.25">
      <c r="A151" s="6" t="s">
        <v>480</v>
      </c>
      <c r="B151" s="2" t="s">
        <v>527</v>
      </c>
      <c r="C151" s="3" t="s">
        <v>11</v>
      </c>
      <c r="D151" s="3" t="s">
        <v>550</v>
      </c>
      <c r="E151" s="3" t="s">
        <v>25</v>
      </c>
      <c r="F151" s="3" t="s">
        <v>76</v>
      </c>
      <c r="G151" s="3" t="s">
        <v>14</v>
      </c>
      <c r="H151" s="4" t="s">
        <v>96</v>
      </c>
      <c r="I151" s="8" t="s">
        <v>572</v>
      </c>
      <c r="J151" s="14" t="s">
        <v>545</v>
      </c>
      <c r="K151" s="3" t="s">
        <v>549</v>
      </c>
      <c r="L151" s="5" t="str">
        <f>HYPERLINK("https://www.codyainvest.cz/file/sdff-get?id=4498","KID")</f>
        <v>KID</v>
      </c>
    </row>
    <row r="152" spans="1:12" ht="45" x14ac:dyDescent="0.25">
      <c r="A152" s="9" t="s">
        <v>481</v>
      </c>
      <c r="B152" t="s">
        <v>528</v>
      </c>
      <c r="C152" s="7" t="s">
        <v>11</v>
      </c>
      <c r="D152" s="7" t="s">
        <v>550</v>
      </c>
      <c r="E152" s="7" t="s">
        <v>25</v>
      </c>
      <c r="F152" s="7" t="s">
        <v>76</v>
      </c>
      <c r="G152" s="7" t="s">
        <v>14</v>
      </c>
      <c r="H152" s="10" t="s">
        <v>96</v>
      </c>
      <c r="I152" s="11" t="s">
        <v>572</v>
      </c>
      <c r="J152" s="13" t="s">
        <v>545</v>
      </c>
      <c r="K152" s="7" t="s">
        <v>549</v>
      </c>
      <c r="L152" s="12" t="str">
        <f>HYPERLINK("https://www.codyainvest.cz/file/sdff-get?id=4493","KID")</f>
        <v>KID</v>
      </c>
    </row>
    <row r="153" spans="1:12" s="2" customFormat="1" ht="45" x14ac:dyDescent="0.25">
      <c r="A153" s="6" t="s">
        <v>482</v>
      </c>
      <c r="B153" s="2" t="s">
        <v>529</v>
      </c>
      <c r="C153" s="3" t="s">
        <v>11</v>
      </c>
      <c r="D153" s="3" t="s">
        <v>550</v>
      </c>
      <c r="E153" s="3" t="s">
        <v>25</v>
      </c>
      <c r="F153" s="3" t="s">
        <v>76</v>
      </c>
      <c r="G153" s="3" t="s">
        <v>14</v>
      </c>
      <c r="H153" s="4" t="s">
        <v>96</v>
      </c>
      <c r="I153" s="8" t="s">
        <v>572</v>
      </c>
      <c r="J153" s="14" t="s">
        <v>546</v>
      </c>
      <c r="K153" s="3" t="s">
        <v>549</v>
      </c>
      <c r="L153" s="5" t="str">
        <f>HYPERLINK("https://www.codyainvest.cz/file/sdff-get?id=4492","KID")</f>
        <v>KID</v>
      </c>
    </row>
    <row r="154" spans="1:12" ht="45" x14ac:dyDescent="0.25">
      <c r="A154" s="9" t="s">
        <v>483</v>
      </c>
      <c r="B154" t="s">
        <v>530</v>
      </c>
      <c r="C154" s="7" t="s">
        <v>11</v>
      </c>
      <c r="D154" s="7" t="s">
        <v>550</v>
      </c>
      <c r="E154" s="7" t="s">
        <v>25</v>
      </c>
      <c r="F154" s="7" t="s">
        <v>76</v>
      </c>
      <c r="G154" s="7" t="s">
        <v>14</v>
      </c>
      <c r="H154" s="10" t="s">
        <v>96</v>
      </c>
      <c r="I154" s="11" t="s">
        <v>573</v>
      </c>
      <c r="J154" s="13" t="s">
        <v>547</v>
      </c>
      <c r="K154" s="7" t="s">
        <v>549</v>
      </c>
      <c r="L154" s="12" t="str">
        <f>HYPERLINK("https://www.codyainvest.cz/file/sdff-get?id=7498","KID")</f>
        <v>KID</v>
      </c>
    </row>
    <row r="155" spans="1:12" s="2" customFormat="1" ht="45" x14ac:dyDescent="0.25">
      <c r="A155" s="6" t="s">
        <v>484</v>
      </c>
      <c r="B155" s="2" t="s">
        <v>531</v>
      </c>
      <c r="C155" s="3" t="s">
        <v>11</v>
      </c>
      <c r="D155" s="3" t="s">
        <v>550</v>
      </c>
      <c r="E155" s="3" t="s">
        <v>25</v>
      </c>
      <c r="F155" s="3" t="s">
        <v>76</v>
      </c>
      <c r="G155" s="3" t="s">
        <v>14</v>
      </c>
      <c r="H155" s="4" t="s">
        <v>96</v>
      </c>
      <c r="I155" s="8" t="s">
        <v>574</v>
      </c>
      <c r="J155" s="14" t="s">
        <v>547</v>
      </c>
      <c r="K155" s="3" t="s">
        <v>549</v>
      </c>
      <c r="L155" s="5" t="str">
        <f>HYPERLINK("https://www.codyainvest.cz/file/sdff-get?id=6073","KID")</f>
        <v>KID</v>
      </c>
    </row>
    <row r="156" spans="1:12" ht="45" x14ac:dyDescent="0.25">
      <c r="A156" s="9" t="s">
        <v>485</v>
      </c>
      <c r="B156" t="s">
        <v>532</v>
      </c>
      <c r="C156" s="7" t="s">
        <v>11</v>
      </c>
      <c r="D156" s="7" t="s">
        <v>550</v>
      </c>
      <c r="E156" s="7" t="s">
        <v>25</v>
      </c>
      <c r="F156" s="7" t="s">
        <v>76</v>
      </c>
      <c r="G156" s="7" t="s">
        <v>14</v>
      </c>
      <c r="H156" s="10" t="s">
        <v>96</v>
      </c>
      <c r="I156" s="11" t="s">
        <v>574</v>
      </c>
      <c r="J156" s="13" t="s">
        <v>547</v>
      </c>
      <c r="K156" s="7" t="s">
        <v>549</v>
      </c>
      <c r="L156" s="12" t="str">
        <f>HYPERLINK("https://www.codyainvest.cz/file/sdff-get?id=6076","KID")</f>
        <v>KID</v>
      </c>
    </row>
    <row r="157" spans="1:12" s="2" customFormat="1" ht="45" x14ac:dyDescent="0.25">
      <c r="A157" s="6" t="s">
        <v>486</v>
      </c>
      <c r="B157" s="2" t="s">
        <v>533</v>
      </c>
      <c r="C157" s="3" t="s">
        <v>11</v>
      </c>
      <c r="D157" s="3" t="s">
        <v>550</v>
      </c>
      <c r="E157" s="3" t="s">
        <v>25</v>
      </c>
      <c r="F157" s="3" t="s">
        <v>76</v>
      </c>
      <c r="G157" s="3" t="s">
        <v>14</v>
      </c>
      <c r="H157" s="4" t="s">
        <v>96</v>
      </c>
      <c r="I157" s="8" t="s">
        <v>575</v>
      </c>
      <c r="J157" s="14" t="s">
        <v>548</v>
      </c>
      <c r="K157" s="3" t="s">
        <v>549</v>
      </c>
      <c r="L157" s="5" t="str">
        <f>HYPERLINK("https://www.codyainvest.cz/file/sdff-get?id=7563","KID")</f>
        <v>KID</v>
      </c>
    </row>
    <row r="158" spans="1:12" ht="45" x14ac:dyDescent="0.25">
      <c r="A158" s="9" t="s">
        <v>487</v>
      </c>
      <c r="B158" t="s">
        <v>534</v>
      </c>
      <c r="C158" s="7" t="s">
        <v>11</v>
      </c>
      <c r="D158" s="7" t="s">
        <v>550</v>
      </c>
      <c r="E158" s="7" t="s">
        <v>25</v>
      </c>
      <c r="F158" s="7" t="s">
        <v>76</v>
      </c>
      <c r="G158" s="7" t="s">
        <v>14</v>
      </c>
      <c r="H158" s="10" t="s">
        <v>96</v>
      </c>
      <c r="I158" s="11" t="s">
        <v>571</v>
      </c>
      <c r="J158" s="13" t="s">
        <v>545</v>
      </c>
      <c r="K158" s="7" t="s">
        <v>549</v>
      </c>
      <c r="L158" s="12" t="str">
        <f>HYPERLINK("https://www.codyainvest.cz/file/sdff-get?id=7562","KID")</f>
        <v>KID</v>
      </c>
    </row>
    <row r="159" spans="1:12" s="2" customFormat="1" ht="45" x14ac:dyDescent="0.25">
      <c r="A159" s="6" t="s">
        <v>488</v>
      </c>
      <c r="B159" s="2" t="s">
        <v>535</v>
      </c>
      <c r="C159" s="3" t="s">
        <v>11</v>
      </c>
      <c r="D159" s="3" t="s">
        <v>550</v>
      </c>
      <c r="E159" s="3" t="s">
        <v>25</v>
      </c>
      <c r="F159" s="3" t="s">
        <v>76</v>
      </c>
      <c r="G159" s="3" t="s">
        <v>14</v>
      </c>
      <c r="H159" s="4" t="s">
        <v>96</v>
      </c>
      <c r="I159" s="8" t="s">
        <v>575</v>
      </c>
      <c r="J159" s="14" t="s">
        <v>545</v>
      </c>
      <c r="K159" s="3" t="s">
        <v>549</v>
      </c>
      <c r="L159" s="5" t="str">
        <f>HYPERLINK("https://www.codyainvest.cz/file/sdff-get?id=7564","KID")</f>
        <v>KID</v>
      </c>
    </row>
    <row r="160" spans="1:12" ht="45" x14ac:dyDescent="0.25">
      <c r="A160" s="9" t="s">
        <v>489</v>
      </c>
      <c r="B160" t="s">
        <v>536</v>
      </c>
      <c r="C160" s="7" t="s">
        <v>11</v>
      </c>
      <c r="D160" s="7" t="s">
        <v>550</v>
      </c>
      <c r="E160" s="7" t="s">
        <v>25</v>
      </c>
      <c r="F160" s="7" t="s">
        <v>76</v>
      </c>
      <c r="G160" s="7" t="s">
        <v>14</v>
      </c>
      <c r="H160" s="10" t="s">
        <v>96</v>
      </c>
      <c r="I160" s="11" t="s">
        <v>575</v>
      </c>
      <c r="J160" s="13" t="s">
        <v>545</v>
      </c>
      <c r="K160" s="7" t="s">
        <v>549</v>
      </c>
      <c r="L160" s="12" t="str">
        <f>HYPERLINK("https://www.codyainvest.cz/file/sdff-get?id=7565","KID")</f>
        <v>KID</v>
      </c>
    </row>
    <row r="161" spans="1:12" s="2" customFormat="1" ht="45" x14ac:dyDescent="0.25">
      <c r="A161" s="6" t="s">
        <v>551</v>
      </c>
      <c r="B161" s="2" t="s">
        <v>552</v>
      </c>
      <c r="C161" s="3" t="s">
        <v>11</v>
      </c>
      <c r="D161" s="3" t="s">
        <v>550</v>
      </c>
      <c r="E161" s="3" t="s">
        <v>25</v>
      </c>
      <c r="F161" s="3" t="s">
        <v>76</v>
      </c>
      <c r="G161" s="3" t="s">
        <v>14</v>
      </c>
      <c r="H161" s="4" t="s">
        <v>22</v>
      </c>
      <c r="I161" s="8">
        <v>0</v>
      </c>
      <c r="J161" s="14" t="s">
        <v>542</v>
      </c>
      <c r="K161" s="3" t="s">
        <v>549</v>
      </c>
      <c r="L161" s="5" t="str">
        <f>HYPERLINK("https://www.codyainvest.cz/file/sdff-get?id=8844","KID")</f>
        <v>KID</v>
      </c>
    </row>
    <row r="162" spans="1:12" ht="45" x14ac:dyDescent="0.25">
      <c r="A162" s="9" t="s">
        <v>648</v>
      </c>
      <c r="B162" t="s">
        <v>649</v>
      </c>
      <c r="C162" s="7" t="s">
        <v>11</v>
      </c>
      <c r="D162" s="7" t="s">
        <v>550</v>
      </c>
      <c r="E162" s="7" t="s">
        <v>25</v>
      </c>
      <c r="F162" s="7" t="s">
        <v>76</v>
      </c>
      <c r="G162" s="7" t="s">
        <v>14</v>
      </c>
      <c r="H162" s="10" t="s">
        <v>96</v>
      </c>
      <c r="I162" s="11" t="s">
        <v>566</v>
      </c>
      <c r="J162" s="13" t="s">
        <v>655</v>
      </c>
      <c r="K162" s="7" t="s">
        <v>549</v>
      </c>
      <c r="L162" s="12" t="str">
        <f>HYPERLINK("https://www.codyainvest.cz/file/sdff-get?id=6845","KID")</f>
        <v>KID</v>
      </c>
    </row>
    <row r="163" spans="1:12" s="2" customFormat="1" ht="45" x14ac:dyDescent="0.25">
      <c r="A163" s="6" t="s">
        <v>646</v>
      </c>
      <c r="B163" s="2" t="s">
        <v>650</v>
      </c>
      <c r="C163" s="3" t="s">
        <v>11</v>
      </c>
      <c r="D163" s="3" t="s">
        <v>550</v>
      </c>
      <c r="E163" s="3" t="s">
        <v>25</v>
      </c>
      <c r="F163" s="3" t="s">
        <v>76</v>
      </c>
      <c r="G163" s="3" t="s">
        <v>14</v>
      </c>
      <c r="H163" s="4" t="s">
        <v>96</v>
      </c>
      <c r="I163" s="8" t="s">
        <v>653</v>
      </c>
      <c r="J163" s="14" t="s">
        <v>656</v>
      </c>
      <c r="K163" s="3" t="s">
        <v>549</v>
      </c>
      <c r="L163" s="5" t="str">
        <f>HYPERLINK("https://www.codyainvest.cz/file/sdff-get?id=6534","KID")</f>
        <v>KID</v>
      </c>
    </row>
    <row r="164" spans="1:12" ht="45" x14ac:dyDescent="0.25">
      <c r="A164" s="9" t="s">
        <v>645</v>
      </c>
      <c r="B164" t="s">
        <v>651</v>
      </c>
      <c r="C164" s="7" t="s">
        <v>11</v>
      </c>
      <c r="D164" s="7" t="s">
        <v>550</v>
      </c>
      <c r="E164" s="7" t="s">
        <v>25</v>
      </c>
      <c r="F164" s="7" t="s">
        <v>76</v>
      </c>
      <c r="G164" s="7" t="s">
        <v>14</v>
      </c>
      <c r="H164" s="10" t="s">
        <v>96</v>
      </c>
      <c r="I164" s="11" t="s">
        <v>654</v>
      </c>
      <c r="J164" s="13" t="s">
        <v>656</v>
      </c>
      <c r="K164" s="7" t="s">
        <v>549</v>
      </c>
      <c r="L164" s="12" t="str">
        <f>HYPERLINK("https://www.codyainvest.cz/file/sdff-get?id=6535","KID")</f>
        <v>KID</v>
      </c>
    </row>
    <row r="165" spans="1:12" s="2" customFormat="1" ht="45" x14ac:dyDescent="0.25">
      <c r="A165" s="6" t="s">
        <v>647</v>
      </c>
      <c r="B165" s="2" t="s">
        <v>652</v>
      </c>
      <c r="C165" s="3" t="s">
        <v>11</v>
      </c>
      <c r="D165" s="3" t="s">
        <v>550</v>
      </c>
      <c r="E165" s="3" t="s">
        <v>25</v>
      </c>
      <c r="F165" s="3" t="s">
        <v>76</v>
      </c>
      <c r="G165" s="3" t="s">
        <v>14</v>
      </c>
      <c r="H165" s="4" t="s">
        <v>96</v>
      </c>
      <c r="I165" s="8" t="s">
        <v>654</v>
      </c>
      <c r="J165" s="14" t="s">
        <v>656</v>
      </c>
      <c r="K165" s="3" t="s">
        <v>549</v>
      </c>
      <c r="L165" s="5" t="str">
        <f>HYPERLINK("https://www.codyainvest.cz/file/sdff-get?id=6536","KID")</f>
        <v>KID</v>
      </c>
    </row>
    <row r="166" spans="1:12" ht="45" x14ac:dyDescent="0.25">
      <c r="A166" s="9" t="s">
        <v>97</v>
      </c>
      <c r="B166" t="s">
        <v>98</v>
      </c>
      <c r="C166" s="7" t="s">
        <v>11</v>
      </c>
      <c r="D166" s="7" t="s">
        <v>62</v>
      </c>
      <c r="E166" s="7" t="s">
        <v>25</v>
      </c>
      <c r="F166" s="7" t="s">
        <v>13</v>
      </c>
      <c r="G166" s="7" t="s">
        <v>14</v>
      </c>
      <c r="H166" s="10" t="s">
        <v>67</v>
      </c>
      <c r="I166" s="11">
        <v>0</v>
      </c>
      <c r="J166" s="13">
        <v>7.1999999999999998E-3</v>
      </c>
      <c r="K166" s="7" t="s">
        <v>99</v>
      </c>
      <c r="L166" s="12" t="str">
        <f>HYPERLINK("https://fidelity.priips-document.com/Fidelity-International/LU1400167216/cs/eu/","KID")</f>
        <v>KID</v>
      </c>
    </row>
    <row r="167" spans="1:12" s="2" customFormat="1" ht="45" x14ac:dyDescent="0.25">
      <c r="A167" s="6" t="s">
        <v>100</v>
      </c>
      <c r="B167" s="2" t="s">
        <v>101</v>
      </c>
      <c r="C167" s="3" t="s">
        <v>11</v>
      </c>
      <c r="D167" s="3" t="s">
        <v>62</v>
      </c>
      <c r="E167" s="3" t="s">
        <v>25</v>
      </c>
      <c r="F167" s="3" t="s">
        <v>13</v>
      </c>
      <c r="G167" s="3" t="s">
        <v>14</v>
      </c>
      <c r="H167" s="4" t="s">
        <v>67</v>
      </c>
      <c r="I167" s="8">
        <v>0</v>
      </c>
      <c r="J167" s="14">
        <v>7.1999999999999998E-3</v>
      </c>
      <c r="K167" s="3" t="s">
        <v>99</v>
      </c>
      <c r="L167" s="5" t="str">
        <f>HYPERLINK("https://fidelity.priips-document.com/Fidelity-International/LU0979392924/cs/eu/","KID")</f>
        <v>KID</v>
      </c>
    </row>
    <row r="168" spans="1:12" ht="45" x14ac:dyDescent="0.25">
      <c r="A168" s="9" t="s">
        <v>109</v>
      </c>
      <c r="B168" t="s">
        <v>110</v>
      </c>
      <c r="C168" s="7" t="s">
        <v>11</v>
      </c>
      <c r="D168" s="7" t="s">
        <v>62</v>
      </c>
      <c r="E168" s="7" t="s">
        <v>25</v>
      </c>
      <c r="F168" s="7" t="s">
        <v>13</v>
      </c>
      <c r="G168" s="7" t="s">
        <v>14</v>
      </c>
      <c r="H168" s="10" t="s">
        <v>67</v>
      </c>
      <c r="I168" s="11">
        <v>0</v>
      </c>
      <c r="J168" s="13">
        <v>7.1999999999999998E-3</v>
      </c>
      <c r="K168" s="7" t="s">
        <v>99</v>
      </c>
      <c r="L168" s="12" t="str">
        <f>HYPERLINK("https://fidelity.priips-document.com/Fidelity-International/LU1756523376/cs/eu/","KID")</f>
        <v>KID</v>
      </c>
    </row>
    <row r="169" spans="1:12" s="2" customFormat="1" ht="45" x14ac:dyDescent="0.25">
      <c r="A169" s="6" t="s">
        <v>113</v>
      </c>
      <c r="B169" s="2" t="s">
        <v>114</v>
      </c>
      <c r="C169" s="3" t="s">
        <v>11</v>
      </c>
      <c r="D169" s="3" t="s">
        <v>62</v>
      </c>
      <c r="E169" s="3" t="s">
        <v>25</v>
      </c>
      <c r="F169" s="3" t="s">
        <v>13</v>
      </c>
      <c r="G169" s="3" t="s">
        <v>14</v>
      </c>
      <c r="H169" s="4" t="s">
        <v>67</v>
      </c>
      <c r="I169" s="8">
        <v>0</v>
      </c>
      <c r="J169" s="14">
        <v>7.1999999999999998E-3</v>
      </c>
      <c r="K169" s="3" t="s">
        <v>99</v>
      </c>
      <c r="L169" s="5" t="str">
        <f>HYPERLINK("https://fidelity.priips-document.com/Fidelity-International/LU2807456855/cs/eu/","KID")</f>
        <v>KID</v>
      </c>
    </row>
    <row r="170" spans="1:12" ht="45" x14ac:dyDescent="0.25">
      <c r="A170" s="9" t="s">
        <v>392</v>
      </c>
      <c r="B170" t="s">
        <v>136</v>
      </c>
      <c r="C170" s="7" t="s">
        <v>11</v>
      </c>
      <c r="D170" s="7" t="s">
        <v>62</v>
      </c>
      <c r="E170" s="7" t="s">
        <v>25</v>
      </c>
      <c r="F170" s="7" t="s">
        <v>13</v>
      </c>
      <c r="G170" s="7" t="s">
        <v>14</v>
      </c>
      <c r="H170" s="10" t="s">
        <v>26</v>
      </c>
      <c r="I170" s="11">
        <v>0</v>
      </c>
      <c r="J170" s="13">
        <v>4.7999999999999996E-3</v>
      </c>
      <c r="K170" s="7" t="s">
        <v>99</v>
      </c>
      <c r="L170" s="12" t="str">
        <f>HYPERLINK("https://fidelity.priips-document.com/Fidelity-International/LU1114574418/cs/eu/","KID")</f>
        <v>KID</v>
      </c>
    </row>
    <row r="171" spans="1:12" s="2" customFormat="1" ht="45" x14ac:dyDescent="0.25">
      <c r="A171" s="6" t="s">
        <v>144</v>
      </c>
      <c r="B171" s="2" t="s">
        <v>145</v>
      </c>
      <c r="C171" s="3" t="s">
        <v>11</v>
      </c>
      <c r="D171" s="3" t="s">
        <v>62</v>
      </c>
      <c r="E171" s="3" t="s">
        <v>25</v>
      </c>
      <c r="F171" s="3" t="s">
        <v>13</v>
      </c>
      <c r="G171" s="3" t="s">
        <v>14</v>
      </c>
      <c r="H171" s="4" t="s">
        <v>67</v>
      </c>
      <c r="I171" s="8">
        <v>0</v>
      </c>
      <c r="J171" s="14">
        <v>7.1999999999999998E-3</v>
      </c>
      <c r="K171" s="3" t="s">
        <v>99</v>
      </c>
      <c r="L171" s="5" t="str">
        <f>HYPERLINK("https://fidelity.priips-document.com/Fidelity-International/LU0605515377/cs/eu/","KID")</f>
        <v>KID</v>
      </c>
    </row>
    <row r="172" spans="1:12" ht="45" x14ac:dyDescent="0.25">
      <c r="A172" s="9" t="s">
        <v>152</v>
      </c>
      <c r="B172" t="s">
        <v>153</v>
      </c>
      <c r="C172" s="7" t="s">
        <v>11</v>
      </c>
      <c r="D172" s="7" t="s">
        <v>62</v>
      </c>
      <c r="E172" s="7" t="s">
        <v>25</v>
      </c>
      <c r="F172" s="7" t="s">
        <v>13</v>
      </c>
      <c r="G172" s="7" t="s">
        <v>14</v>
      </c>
      <c r="H172" s="10" t="s">
        <v>67</v>
      </c>
      <c r="I172" s="11">
        <v>0</v>
      </c>
      <c r="J172" s="13">
        <v>7.1999999999999998E-3</v>
      </c>
      <c r="K172" s="7" t="s">
        <v>99</v>
      </c>
      <c r="L172" s="12" t="str">
        <f>HYPERLINK("https://fidelity.priips-document.com/Fidelity-International/LU1261432659/cs/eu/","KID")</f>
        <v>KID</v>
      </c>
    </row>
    <row r="173" spans="1:12" s="2" customFormat="1" ht="45" x14ac:dyDescent="0.25">
      <c r="A173" s="6" t="s">
        <v>154</v>
      </c>
      <c r="B173" s="2" t="s">
        <v>155</v>
      </c>
      <c r="C173" s="3" t="s">
        <v>11</v>
      </c>
      <c r="D173" s="3" t="s">
        <v>62</v>
      </c>
      <c r="E173" s="3" t="s">
        <v>25</v>
      </c>
      <c r="F173" s="3" t="s">
        <v>13</v>
      </c>
      <c r="G173" s="3" t="s">
        <v>14</v>
      </c>
      <c r="H173" s="4" t="s">
        <v>96</v>
      </c>
      <c r="I173" s="8">
        <v>0</v>
      </c>
      <c r="J173" s="14">
        <v>7.1999999999999998E-3</v>
      </c>
      <c r="K173" s="3" t="s">
        <v>99</v>
      </c>
      <c r="L173" s="5" t="str">
        <f>HYPERLINK("https://fidelity.priips-document.com/Fidelity-International/LU0455706654/cs/eu/","KID")</f>
        <v>KID</v>
      </c>
    </row>
    <row r="174" spans="1:12" ht="45" x14ac:dyDescent="0.25">
      <c r="A174" s="9" t="s">
        <v>156</v>
      </c>
      <c r="B174" t="s">
        <v>157</v>
      </c>
      <c r="C174" s="7" t="s">
        <v>11</v>
      </c>
      <c r="D174" s="7" t="s">
        <v>62</v>
      </c>
      <c r="E174" s="7" t="s">
        <v>25</v>
      </c>
      <c r="F174" s="7" t="s">
        <v>13</v>
      </c>
      <c r="G174" s="7" t="s">
        <v>14</v>
      </c>
      <c r="H174" s="10" t="s">
        <v>96</v>
      </c>
      <c r="I174" s="11">
        <v>0</v>
      </c>
      <c r="J174" s="13">
        <v>7.1999999999999998E-3</v>
      </c>
      <c r="K174" s="7" t="s">
        <v>99</v>
      </c>
      <c r="L174" s="12" t="str">
        <f>HYPERLINK("https://fidelity.priips-document.com/Fidelity-International/LU0261948227/cs/eu/","KID")</f>
        <v>KID</v>
      </c>
    </row>
    <row r="175" spans="1:12" s="2" customFormat="1" ht="45" x14ac:dyDescent="0.25">
      <c r="A175" s="6" t="s">
        <v>221</v>
      </c>
      <c r="B175" s="2" t="s">
        <v>222</v>
      </c>
      <c r="C175" s="3" t="s">
        <v>11</v>
      </c>
      <c r="D175" s="3" t="s">
        <v>62</v>
      </c>
      <c r="E175" s="3" t="s">
        <v>25</v>
      </c>
      <c r="F175" s="3" t="s">
        <v>13</v>
      </c>
      <c r="G175" s="3" t="s">
        <v>14</v>
      </c>
      <c r="H175" s="4" t="s">
        <v>96</v>
      </c>
      <c r="I175" s="8">
        <v>0</v>
      </c>
      <c r="J175" s="14">
        <v>7.1999999999999998E-3</v>
      </c>
      <c r="K175" s="3" t="s">
        <v>99</v>
      </c>
      <c r="L175" s="5" t="str">
        <f>HYPERLINK("https://fidelity.priips-document.com/Fidelity-International/LU0594300179/cs/eu/","KID")</f>
        <v>KID</v>
      </c>
    </row>
    <row r="176" spans="1:12" ht="45" x14ac:dyDescent="0.25">
      <c r="A176" s="9" t="s">
        <v>320</v>
      </c>
      <c r="B176" t="s">
        <v>225</v>
      </c>
      <c r="C176" s="7" t="s">
        <v>11</v>
      </c>
      <c r="D176" s="7" t="s">
        <v>62</v>
      </c>
      <c r="E176" s="7" t="s">
        <v>25</v>
      </c>
      <c r="F176" s="7" t="s">
        <v>13</v>
      </c>
      <c r="G176" s="7" t="s">
        <v>14</v>
      </c>
      <c r="H176" s="10" t="s">
        <v>96</v>
      </c>
      <c r="I176" s="11">
        <v>0</v>
      </c>
      <c r="J176" s="13">
        <v>7.1999999999999998E-3</v>
      </c>
      <c r="K176" s="7" t="s">
        <v>99</v>
      </c>
      <c r="L176" s="12" t="str">
        <f>HYPERLINK("https://fidelity.priips-document.com/Fidelity-International/LU1084165130/cs/eu/","KID")</f>
        <v>KID</v>
      </c>
    </row>
    <row r="177" spans="1:12" s="2" customFormat="1" ht="45" x14ac:dyDescent="0.25">
      <c r="A177" s="6" t="s">
        <v>228</v>
      </c>
      <c r="B177" s="2" t="s">
        <v>229</v>
      </c>
      <c r="C177" s="3" t="s">
        <v>11</v>
      </c>
      <c r="D177" s="3" t="s">
        <v>62</v>
      </c>
      <c r="E177" s="3" t="s">
        <v>25</v>
      </c>
      <c r="F177" s="3" t="s">
        <v>13</v>
      </c>
      <c r="G177" s="3" t="s">
        <v>14</v>
      </c>
      <c r="H177" s="4" t="s">
        <v>15</v>
      </c>
      <c r="I177" s="8">
        <v>0</v>
      </c>
      <c r="J177" s="14">
        <v>2.4000000000000002E-3</v>
      </c>
      <c r="K177" s="3" t="s">
        <v>99</v>
      </c>
      <c r="L177" s="5" t="str">
        <f>HYPERLINK("https://fidelity.priips-document.com/Fidelity-International/LU0267388220/cs/eu/","KID")</f>
        <v>KID</v>
      </c>
    </row>
    <row r="178" spans="1:12" ht="45" x14ac:dyDescent="0.25">
      <c r="A178" s="9" t="s">
        <v>232</v>
      </c>
      <c r="B178" t="s">
        <v>233</v>
      </c>
      <c r="C178" s="7" t="s">
        <v>11</v>
      </c>
      <c r="D178" s="7" t="s">
        <v>62</v>
      </c>
      <c r="E178" s="7" t="s">
        <v>25</v>
      </c>
      <c r="F178" s="7" t="s">
        <v>13</v>
      </c>
      <c r="G178" s="7" t="s">
        <v>14</v>
      </c>
      <c r="H178" s="10" t="s">
        <v>26</v>
      </c>
      <c r="I178" s="11">
        <v>0</v>
      </c>
      <c r="J178" s="13">
        <v>4.8000000000000004E-3</v>
      </c>
      <c r="K178" s="7" t="s">
        <v>99</v>
      </c>
      <c r="L178" s="12" t="str">
        <f>HYPERLINK("https://fidelity.priips-document.com/Fidelity-International/LU0979393146/cs/eu/","KID")</f>
        <v>KID</v>
      </c>
    </row>
    <row r="179" spans="1:12" s="2" customFormat="1" ht="45" x14ac:dyDescent="0.25">
      <c r="A179" s="6" t="s">
        <v>237</v>
      </c>
      <c r="B179" s="2" t="s">
        <v>238</v>
      </c>
      <c r="C179" s="3" t="s">
        <v>11</v>
      </c>
      <c r="D179" s="3" t="s">
        <v>62</v>
      </c>
      <c r="E179" s="3" t="s">
        <v>25</v>
      </c>
      <c r="F179" s="3" t="s">
        <v>13</v>
      </c>
      <c r="G179" s="3" t="s">
        <v>14</v>
      </c>
      <c r="H179" s="4" t="s">
        <v>67</v>
      </c>
      <c r="I179" s="8">
        <v>0</v>
      </c>
      <c r="J179" s="14">
        <v>7.1999999999999998E-3</v>
      </c>
      <c r="K179" s="3" t="s">
        <v>99</v>
      </c>
      <c r="L179" s="5" t="str">
        <f>HYPERLINK("https://fidelity.priips-document.com/Fidelity-International/LU0772969993/cs/eu/","KID")</f>
        <v>KID</v>
      </c>
    </row>
    <row r="180" spans="1:12" ht="45" x14ac:dyDescent="0.25">
      <c r="A180" s="9" t="s">
        <v>243</v>
      </c>
      <c r="B180" t="s">
        <v>244</v>
      </c>
      <c r="C180" s="7" t="s">
        <v>11</v>
      </c>
      <c r="D180" s="7" t="s">
        <v>62</v>
      </c>
      <c r="E180" s="7" t="s">
        <v>25</v>
      </c>
      <c r="F180" s="7" t="s">
        <v>13</v>
      </c>
      <c r="G180" s="7" t="s">
        <v>14</v>
      </c>
      <c r="H180" s="10" t="s">
        <v>96</v>
      </c>
      <c r="I180" s="11">
        <v>0</v>
      </c>
      <c r="J180" s="13">
        <v>7.1999999999999998E-3</v>
      </c>
      <c r="K180" s="7" t="s">
        <v>99</v>
      </c>
      <c r="L180" s="12" t="str">
        <f>HYPERLINK("https://fidelity.priips-document.com/Fidelity-International/LU0368678339/cs/eu/","KID")</f>
        <v>KID</v>
      </c>
    </row>
    <row r="181" spans="1:12" s="2" customFormat="1" ht="45" x14ac:dyDescent="0.25">
      <c r="A181" s="6" t="s">
        <v>258</v>
      </c>
      <c r="B181" s="2" t="s">
        <v>259</v>
      </c>
      <c r="C181" s="3" t="s">
        <v>11</v>
      </c>
      <c r="D181" s="3" t="s">
        <v>62</v>
      </c>
      <c r="E181" s="3" t="s">
        <v>25</v>
      </c>
      <c r="F181" s="3" t="s">
        <v>13</v>
      </c>
      <c r="G181" s="3" t="s">
        <v>14</v>
      </c>
      <c r="H181" s="4" t="s">
        <v>67</v>
      </c>
      <c r="I181" s="8">
        <v>0</v>
      </c>
      <c r="J181" s="14">
        <v>7.1999999999999998E-3</v>
      </c>
      <c r="K181" s="3" t="s">
        <v>99</v>
      </c>
      <c r="L181" s="5" t="str">
        <f>HYPERLINK("https://fidelity.priips-document.com/Fidelity-International/LU0261951957/cs/eu/","KID")</f>
        <v>KID</v>
      </c>
    </row>
    <row r="182" spans="1:12" ht="45" x14ac:dyDescent="0.25">
      <c r="A182" s="9" t="s">
        <v>261</v>
      </c>
      <c r="B182" t="s">
        <v>262</v>
      </c>
      <c r="C182" s="7" t="s">
        <v>11</v>
      </c>
      <c r="D182" s="7" t="s">
        <v>62</v>
      </c>
      <c r="E182" s="7" t="s">
        <v>25</v>
      </c>
      <c r="F182" s="7" t="s">
        <v>13</v>
      </c>
      <c r="G182" s="7" t="s">
        <v>14</v>
      </c>
      <c r="H182" s="10" t="s">
        <v>96</v>
      </c>
      <c r="I182" s="11">
        <v>0</v>
      </c>
      <c r="J182" s="13">
        <v>7.1999999999999998E-3</v>
      </c>
      <c r="K182" s="7" t="s">
        <v>99</v>
      </c>
      <c r="L182" s="12" t="str">
        <f>HYPERLINK("https://fidelity.priips-document.com/Fidelity-International/LU1048684796/cs/eu/","KID")</f>
        <v>KID</v>
      </c>
    </row>
    <row r="183" spans="1:12" s="2" customFormat="1" ht="45" x14ac:dyDescent="0.25">
      <c r="A183" s="6" t="s">
        <v>319</v>
      </c>
      <c r="B183" s="2" t="s">
        <v>265</v>
      </c>
      <c r="C183" s="3" t="s">
        <v>11</v>
      </c>
      <c r="D183" s="3" t="s">
        <v>62</v>
      </c>
      <c r="E183" s="3" t="s">
        <v>25</v>
      </c>
      <c r="F183" s="3" t="s">
        <v>13</v>
      </c>
      <c r="G183" s="3" t="s">
        <v>14</v>
      </c>
      <c r="H183" s="4" t="s">
        <v>96</v>
      </c>
      <c r="I183" s="8">
        <v>0</v>
      </c>
      <c r="J183" s="14">
        <v>7.1999999999999998E-3</v>
      </c>
      <c r="K183" s="3" t="s">
        <v>99</v>
      </c>
      <c r="L183" s="5" t="str">
        <f>HYPERLINK("https://fidelity.priips-document.com/Fidelity-International/LU0979392841/cs/eu/","KID")</f>
        <v>KID</v>
      </c>
    </row>
    <row r="184" spans="1:12" ht="45" x14ac:dyDescent="0.25">
      <c r="A184" s="9" t="s">
        <v>272</v>
      </c>
      <c r="B184" t="s">
        <v>273</v>
      </c>
      <c r="C184" s="7" t="s">
        <v>11</v>
      </c>
      <c r="D184" s="7" t="s">
        <v>62</v>
      </c>
      <c r="E184" s="7" t="s">
        <v>25</v>
      </c>
      <c r="F184" s="7" t="s">
        <v>13</v>
      </c>
      <c r="G184" s="7" t="s">
        <v>14</v>
      </c>
      <c r="H184" s="10" t="s">
        <v>67</v>
      </c>
      <c r="I184" s="11">
        <v>0</v>
      </c>
      <c r="J184" s="13">
        <v>7.1999999999999998E-3</v>
      </c>
      <c r="K184" s="7" t="s">
        <v>99</v>
      </c>
      <c r="L184" s="12" t="str">
        <f>HYPERLINK("https://fidelity.priips-document.com/Fidelity-International/LU1841614867/cs/eu/","KID")</f>
        <v>KID</v>
      </c>
    </row>
    <row r="185" spans="1:12" s="2" customFormat="1" ht="45" x14ac:dyDescent="0.25">
      <c r="A185" s="6" t="s">
        <v>276</v>
      </c>
      <c r="B185" s="2" t="s">
        <v>277</v>
      </c>
      <c r="C185" s="3" t="s">
        <v>11</v>
      </c>
      <c r="D185" s="3" t="s">
        <v>62</v>
      </c>
      <c r="E185" s="3" t="s">
        <v>25</v>
      </c>
      <c r="F185" s="3" t="s">
        <v>13</v>
      </c>
      <c r="G185" s="3" t="s">
        <v>14</v>
      </c>
      <c r="H185" s="4" t="s">
        <v>96</v>
      </c>
      <c r="I185" s="8">
        <v>0</v>
      </c>
      <c r="J185" s="14">
        <v>7.1999999999999998E-3</v>
      </c>
      <c r="K185" s="3" t="s">
        <v>99</v>
      </c>
      <c r="L185" s="5" t="str">
        <f>HYPERLINK("https://fidelity.priips-document.com/Fidelity-International/LU2050860480/cs/eu/","KID")</f>
        <v>KID</v>
      </c>
    </row>
    <row r="186" spans="1:12" ht="45" x14ac:dyDescent="0.25">
      <c r="A186" s="9" t="s">
        <v>282</v>
      </c>
      <c r="B186" t="s">
        <v>283</v>
      </c>
      <c r="C186" s="7" t="s">
        <v>11</v>
      </c>
      <c r="D186" s="7" t="s">
        <v>62</v>
      </c>
      <c r="E186" s="7" t="s">
        <v>25</v>
      </c>
      <c r="F186" s="7" t="s">
        <v>13</v>
      </c>
      <c r="G186" s="7" t="s">
        <v>14</v>
      </c>
      <c r="H186" s="10" t="s">
        <v>96</v>
      </c>
      <c r="I186" s="11">
        <v>0</v>
      </c>
      <c r="J186" s="13">
        <v>7.1999999999999998E-3</v>
      </c>
      <c r="K186" s="7" t="s">
        <v>99</v>
      </c>
      <c r="L186" s="12" t="str">
        <f>HYPERLINK("https://fidelity.priips-document.com/Fidelity-International/LU0069449576/cs/eu/","KID")</f>
        <v>KID</v>
      </c>
    </row>
    <row r="187" spans="1:12" s="2" customFormat="1" ht="45" x14ac:dyDescent="0.25">
      <c r="A187" s="6" t="s">
        <v>284</v>
      </c>
      <c r="B187" s="2" t="s">
        <v>285</v>
      </c>
      <c r="C187" s="3" t="s">
        <v>11</v>
      </c>
      <c r="D187" s="3" t="s">
        <v>62</v>
      </c>
      <c r="E187" s="3" t="s">
        <v>25</v>
      </c>
      <c r="F187" s="3" t="s">
        <v>13</v>
      </c>
      <c r="G187" s="3" t="s">
        <v>14</v>
      </c>
      <c r="H187" s="4" t="s">
        <v>96</v>
      </c>
      <c r="I187" s="8">
        <v>0</v>
      </c>
      <c r="J187" s="14">
        <v>7.1999999999999998E-3</v>
      </c>
      <c r="K187" s="3" t="s">
        <v>99</v>
      </c>
      <c r="L187" s="5" t="str">
        <f>HYPERLINK("https://fidelity.priips-document.com/Fidelity-International/LU0261950470/cs/eu/","KID")</f>
        <v>KID</v>
      </c>
    </row>
    <row r="188" spans="1:12" ht="45" x14ac:dyDescent="0.25">
      <c r="A188" s="9" t="s">
        <v>321</v>
      </c>
      <c r="B188" t="s">
        <v>296</v>
      </c>
      <c r="C188" s="7" t="s">
        <v>11</v>
      </c>
      <c r="D188" s="7" t="s">
        <v>62</v>
      </c>
      <c r="E188" s="7" t="s">
        <v>128</v>
      </c>
      <c r="F188" s="7" t="s">
        <v>13</v>
      </c>
      <c r="G188" s="7" t="s">
        <v>14</v>
      </c>
      <c r="H188" s="10" t="s">
        <v>96</v>
      </c>
      <c r="I188" s="11">
        <v>0</v>
      </c>
      <c r="J188" s="13">
        <v>7.1999999999999998E-3</v>
      </c>
      <c r="K188" s="7" t="s">
        <v>99</v>
      </c>
      <c r="L188" s="12" t="str">
        <f>HYPERLINK("https://fidelity.priips-document.com/Fidelity-International/LU2242646235/cs/eu/","KID")</f>
        <v>KID</v>
      </c>
    </row>
    <row r="189" spans="1:12" s="2" customFormat="1" ht="45" x14ac:dyDescent="0.25">
      <c r="A189" s="6" t="s">
        <v>302</v>
      </c>
      <c r="B189" s="2" t="s">
        <v>303</v>
      </c>
      <c r="C189" s="3" t="s">
        <v>11</v>
      </c>
      <c r="D189" s="3" t="s">
        <v>62</v>
      </c>
      <c r="E189" s="3" t="s">
        <v>25</v>
      </c>
      <c r="F189" s="3" t="s">
        <v>13</v>
      </c>
      <c r="G189" s="3" t="s">
        <v>14</v>
      </c>
      <c r="H189" s="4" t="s">
        <v>26</v>
      </c>
      <c r="I189" s="8">
        <v>0</v>
      </c>
      <c r="J189" s="14">
        <v>7.1999999999999998E-3</v>
      </c>
      <c r="K189" s="3" t="s">
        <v>99</v>
      </c>
      <c r="L189" s="5" t="str">
        <f>HYPERLINK("https://fidelity.priips-document.com/Fidelity-International/LU2701599156/cs/eu/","KID")</f>
        <v>KID</v>
      </c>
    </row>
    <row r="190" spans="1:12" ht="45" x14ac:dyDescent="0.25">
      <c r="A190" s="9" t="s">
        <v>322</v>
      </c>
      <c r="B190" t="s">
        <v>313</v>
      </c>
      <c r="C190" s="7" t="s">
        <v>11</v>
      </c>
      <c r="D190" s="7" t="s">
        <v>62</v>
      </c>
      <c r="E190" s="7" t="s">
        <v>25</v>
      </c>
      <c r="F190" s="7" t="s">
        <v>13</v>
      </c>
      <c r="G190" s="7" t="s">
        <v>14</v>
      </c>
      <c r="H190" s="10" t="s">
        <v>96</v>
      </c>
      <c r="I190" s="11">
        <v>0</v>
      </c>
      <c r="J190" s="13">
        <v>7.1999999999999998E-3</v>
      </c>
      <c r="K190" s="7" t="s">
        <v>99</v>
      </c>
      <c r="L190" s="12" t="str">
        <f>HYPERLINK("https://fidelity.priips-document.com/Fidelity-International/LU0261946445/cs/eu/","KID")</f>
        <v>KID</v>
      </c>
    </row>
    <row r="191" spans="1:12" s="2" customFormat="1" ht="45" x14ac:dyDescent="0.25">
      <c r="A191" s="6" t="s">
        <v>317</v>
      </c>
      <c r="B191" s="2" t="s">
        <v>318</v>
      </c>
      <c r="C191" s="3" t="s">
        <v>11</v>
      </c>
      <c r="D191" s="3" t="s">
        <v>62</v>
      </c>
      <c r="E191" s="3" t="s">
        <v>25</v>
      </c>
      <c r="F191" s="3" t="s">
        <v>13</v>
      </c>
      <c r="G191" s="3" t="s">
        <v>14</v>
      </c>
      <c r="H191" s="4" t="s">
        <v>96</v>
      </c>
      <c r="I191" s="8">
        <v>0</v>
      </c>
      <c r="J191" s="14">
        <v>7.1999999999999998E-3</v>
      </c>
      <c r="K191" s="3" t="s">
        <v>99</v>
      </c>
      <c r="L191" s="5" t="str">
        <f>HYPERLINK("https://fidelity.priips-document.com/Fidelity-International/LU0329678337/cs/eu/","KID")</f>
        <v>KID</v>
      </c>
    </row>
    <row r="192" spans="1:12" ht="45" x14ac:dyDescent="0.25">
      <c r="A192" s="9" t="s">
        <v>310</v>
      </c>
      <c r="B192" t="s">
        <v>311</v>
      </c>
      <c r="C192" s="7" t="s">
        <v>11</v>
      </c>
      <c r="D192" s="7" t="s">
        <v>62</v>
      </c>
      <c r="E192" s="7" t="s">
        <v>25</v>
      </c>
      <c r="F192" s="7" t="s">
        <v>13</v>
      </c>
      <c r="G192" s="7" t="s">
        <v>14</v>
      </c>
      <c r="H192" s="10" t="s">
        <v>26</v>
      </c>
      <c r="I192" s="11">
        <v>0</v>
      </c>
      <c r="J192" s="13">
        <v>7.1999999999999998E-3</v>
      </c>
      <c r="K192" s="7" t="s">
        <v>312</v>
      </c>
      <c r="L192" s="12" t="str">
        <f>HYPERLINK("https://fidelity.priips-document.com/Fidelity-International/LU2504555777/cs/eu/","KID")</f>
        <v>KID</v>
      </c>
    </row>
    <row r="193" spans="1:12" s="2" customFormat="1" ht="45" x14ac:dyDescent="0.25">
      <c r="A193" s="6" t="s">
        <v>105</v>
      </c>
      <c r="B193" s="2" t="s">
        <v>106</v>
      </c>
      <c r="C193" s="3" t="s">
        <v>11</v>
      </c>
      <c r="D193" s="3" t="s">
        <v>62</v>
      </c>
      <c r="E193" s="3" t="s">
        <v>25</v>
      </c>
      <c r="F193" s="3" t="s">
        <v>76</v>
      </c>
      <c r="G193" s="3" t="s">
        <v>14</v>
      </c>
      <c r="H193" s="4" t="s">
        <v>67</v>
      </c>
      <c r="I193" s="8">
        <v>0</v>
      </c>
      <c r="J193" s="14">
        <v>7.1999999999999998E-3</v>
      </c>
      <c r="K193" s="3" t="s">
        <v>107</v>
      </c>
      <c r="L193" s="5" t="str">
        <f>HYPERLINK("https://www.franklintempleton.cz/download/cs-cz/key-information-document/1f4949b6-11a6-4c5a-a408-2273c637b13f/PRIIPSEU_LU2125249990_cs_CZ.pdf","KID")</f>
        <v>KID</v>
      </c>
    </row>
    <row r="194" spans="1:12" ht="45" x14ac:dyDescent="0.25">
      <c r="A194" s="9" t="s">
        <v>133</v>
      </c>
      <c r="B194" t="s">
        <v>134</v>
      </c>
      <c r="C194" s="7" t="s">
        <v>11</v>
      </c>
      <c r="D194" s="7" t="s">
        <v>62</v>
      </c>
      <c r="E194" s="7" t="s">
        <v>25</v>
      </c>
      <c r="F194" s="7" t="s">
        <v>76</v>
      </c>
      <c r="G194" s="7" t="s">
        <v>14</v>
      </c>
      <c r="H194" s="10" t="s">
        <v>96</v>
      </c>
      <c r="I194" s="11">
        <v>0</v>
      </c>
      <c r="J194" s="13">
        <v>8.8800000000000007E-3</v>
      </c>
      <c r="K194" s="7" t="s">
        <v>107</v>
      </c>
      <c r="L194" s="12" t="str">
        <f>HYPERLINK("https://www.franklintempleton.cz/download/cs-cz/key-information-document/7a3a8cbc-6b2f-475f-bfc4-4fc77f13e575/PRIIPSEU_LU0768356247_cs_CZ.pdf","KID")</f>
        <v>KID</v>
      </c>
    </row>
    <row r="195" spans="1:12" s="2" customFormat="1" ht="45" x14ac:dyDescent="0.25">
      <c r="A195" s="6" t="s">
        <v>138</v>
      </c>
      <c r="B195" s="2" t="s">
        <v>139</v>
      </c>
      <c r="C195" s="3" t="s">
        <v>11</v>
      </c>
      <c r="D195" s="3" t="s">
        <v>62</v>
      </c>
      <c r="E195" s="3" t="s">
        <v>25</v>
      </c>
      <c r="F195" s="3" t="s">
        <v>76</v>
      </c>
      <c r="G195" s="3" t="s">
        <v>14</v>
      </c>
      <c r="H195" s="4" t="s">
        <v>67</v>
      </c>
      <c r="I195" s="8">
        <v>0</v>
      </c>
      <c r="J195" s="14">
        <v>7.1999999999999998E-3</v>
      </c>
      <c r="K195" s="3" t="s">
        <v>107</v>
      </c>
      <c r="L195" s="5" t="str">
        <f>HYPERLINK("https://www.franklintempleton.cz/download/cs-cz/key-information-document/aa92a273-932b-4e30-bb02-962bb880830a/PRIIPSEU_LU0768356080_cs_CZ.pdf","KID")</f>
        <v>KID</v>
      </c>
    </row>
    <row r="196" spans="1:12" ht="45" x14ac:dyDescent="0.25">
      <c r="A196" s="9" t="s">
        <v>146</v>
      </c>
      <c r="B196" t="s">
        <v>147</v>
      </c>
      <c r="C196" s="7" t="s">
        <v>11</v>
      </c>
      <c r="D196" s="7" t="s">
        <v>62</v>
      </c>
      <c r="E196" s="7" t="s">
        <v>25</v>
      </c>
      <c r="F196" s="7" t="s">
        <v>76</v>
      </c>
      <c r="G196" s="7" t="s">
        <v>14</v>
      </c>
      <c r="H196" s="10" t="s">
        <v>96</v>
      </c>
      <c r="I196" s="11">
        <v>0</v>
      </c>
      <c r="J196" s="13">
        <v>7.1999999999999998E-3</v>
      </c>
      <c r="K196" s="7" t="s">
        <v>107</v>
      </c>
      <c r="L196" s="12" t="str">
        <f>HYPERLINK("https://www.franklintempleton.cz/download/cs-cz/key-information-document/e29341e9-151e-44b1-9521-562e4966d057/PRIIPSEU_LU0260870158_cs_CZ.pdf","KID")</f>
        <v>KID</v>
      </c>
    </row>
    <row r="197" spans="1:12" s="2" customFormat="1" ht="45" x14ac:dyDescent="0.25">
      <c r="A197" s="6" t="s">
        <v>148</v>
      </c>
      <c r="B197" s="2" t="s">
        <v>149</v>
      </c>
      <c r="C197" s="3" t="s">
        <v>11</v>
      </c>
      <c r="D197" s="3" t="s">
        <v>62</v>
      </c>
      <c r="E197" s="3" t="s">
        <v>25</v>
      </c>
      <c r="F197" s="3" t="s">
        <v>76</v>
      </c>
      <c r="G197" s="3" t="s">
        <v>14</v>
      </c>
      <c r="H197" s="4" t="s">
        <v>96</v>
      </c>
      <c r="I197" s="8">
        <v>0</v>
      </c>
      <c r="J197" s="14">
        <v>7.1999999999999998E-3</v>
      </c>
      <c r="K197" s="3" t="s">
        <v>107</v>
      </c>
      <c r="L197" s="5" t="str">
        <f>HYPERLINK("https://www.franklintempleton.cz/download/cs-cz/key-information-document/9f9633ea-e012-4e5b-a631-9fcb013379fe/PRIIPSEU_LU0231205187_cs_CZ.pdf","KID")</f>
        <v>KID</v>
      </c>
    </row>
    <row r="198" spans="1:12" ht="45" x14ac:dyDescent="0.25">
      <c r="A198" s="9" t="s">
        <v>166</v>
      </c>
      <c r="B198" t="s">
        <v>167</v>
      </c>
      <c r="C198" s="7" t="s">
        <v>11</v>
      </c>
      <c r="D198" s="7" t="s">
        <v>62</v>
      </c>
      <c r="E198" s="7" t="s">
        <v>25</v>
      </c>
      <c r="F198" s="7" t="s">
        <v>76</v>
      </c>
      <c r="G198" s="7" t="s">
        <v>14</v>
      </c>
      <c r="H198" s="10" t="s">
        <v>96</v>
      </c>
      <c r="I198" s="11">
        <v>0</v>
      </c>
      <c r="J198" s="13">
        <v>7.1999999999999998E-3</v>
      </c>
      <c r="K198" s="7" t="s">
        <v>107</v>
      </c>
      <c r="L198" s="12" t="str">
        <f>HYPERLINK("https://www.franklintempleton.cz/download/cs-cz/key-information-document/aa66ea45-892e-4448-a9ca-37c9611cd3ff/PRIIPSEU_LU0109392836_cs_CZ.pdf","KID")</f>
        <v>KID</v>
      </c>
    </row>
    <row r="199" spans="1:12" s="2" customFormat="1" ht="45" x14ac:dyDescent="0.25">
      <c r="A199" s="6" t="s">
        <v>172</v>
      </c>
      <c r="B199" s="2" t="s">
        <v>173</v>
      </c>
      <c r="C199" s="3" t="s">
        <v>11</v>
      </c>
      <c r="D199" s="3" t="s">
        <v>62</v>
      </c>
      <c r="E199" s="3" t="s">
        <v>25</v>
      </c>
      <c r="F199" s="3" t="s">
        <v>13</v>
      </c>
      <c r="G199" s="3" t="s">
        <v>14</v>
      </c>
      <c r="H199" s="4" t="s">
        <v>96</v>
      </c>
      <c r="I199" s="8">
        <v>0</v>
      </c>
      <c r="J199" s="14">
        <v>7.1999999999999998E-3</v>
      </c>
      <c r="K199" s="3" t="s">
        <v>107</v>
      </c>
      <c r="L199" s="5" t="str">
        <f>HYPERLINK("https://www.franklintempleton.cz/download/cs-cz/key-information-document/9d0066ec-0132-40b0-961d-ae9d5c691883/PRIIPSEU_LU2063271972_cs_CZ.pdf","KID")</f>
        <v>KID</v>
      </c>
    </row>
    <row r="200" spans="1:12" ht="45" x14ac:dyDescent="0.25">
      <c r="A200" s="9" t="s">
        <v>174</v>
      </c>
      <c r="B200" t="s">
        <v>175</v>
      </c>
      <c r="C200" s="7" t="s">
        <v>11</v>
      </c>
      <c r="D200" s="7" t="s">
        <v>62</v>
      </c>
      <c r="E200" s="7" t="s">
        <v>25</v>
      </c>
      <c r="F200" s="7" t="s">
        <v>76</v>
      </c>
      <c r="G200" s="7" t="s">
        <v>14</v>
      </c>
      <c r="H200" s="10" t="s">
        <v>170</v>
      </c>
      <c r="I200" s="11">
        <v>0</v>
      </c>
      <c r="J200" s="13">
        <v>7.1999999999999998E-3</v>
      </c>
      <c r="K200" s="7" t="s">
        <v>107</v>
      </c>
      <c r="L200" s="12" t="str">
        <f>HYPERLINK("https://www.franklintempleton.cz/download/cs-cz/key-information-document/db5c883c-54a5-45d8-b1b6-8a18a50fb307/PRIIPSEU_LU0109394709_cs_CZ.pdf","KID")</f>
        <v>KID</v>
      </c>
    </row>
    <row r="201" spans="1:12" s="2" customFormat="1" ht="45" x14ac:dyDescent="0.25">
      <c r="A201" s="6" t="s">
        <v>176</v>
      </c>
      <c r="B201" s="2" t="s">
        <v>177</v>
      </c>
      <c r="C201" s="3" t="s">
        <v>11</v>
      </c>
      <c r="D201" s="3" t="s">
        <v>62</v>
      </c>
      <c r="E201" s="3" t="s">
        <v>25</v>
      </c>
      <c r="F201" s="3" t="s">
        <v>13</v>
      </c>
      <c r="G201" s="3" t="s">
        <v>14</v>
      </c>
      <c r="H201" s="4" t="s">
        <v>170</v>
      </c>
      <c r="I201" s="8">
        <v>0</v>
      </c>
      <c r="J201" s="14">
        <v>7.1999999999999998E-3</v>
      </c>
      <c r="K201" s="3" t="s">
        <v>107</v>
      </c>
      <c r="L201" s="5" t="str">
        <f>HYPERLINK("https://www.amundi.cz/dl/doc/kid-priips/LU2860962559/CES/CZE/20250618?inline","KID")</f>
        <v>KID</v>
      </c>
    </row>
    <row r="202" spans="1:12" ht="45" x14ac:dyDescent="0.25">
      <c r="A202" s="9" t="s">
        <v>178</v>
      </c>
      <c r="B202" t="s">
        <v>179</v>
      </c>
      <c r="C202" s="7" t="s">
        <v>11</v>
      </c>
      <c r="D202" s="7" t="s">
        <v>62</v>
      </c>
      <c r="E202" s="7" t="s">
        <v>25</v>
      </c>
      <c r="F202" s="7" t="s">
        <v>76</v>
      </c>
      <c r="G202" s="7" t="s">
        <v>14</v>
      </c>
      <c r="H202" s="10" t="s">
        <v>96</v>
      </c>
      <c r="I202" s="11">
        <v>0</v>
      </c>
      <c r="J202" s="13">
        <v>7.1999999999999998E-3</v>
      </c>
      <c r="K202" s="7" t="s">
        <v>107</v>
      </c>
      <c r="L202" s="12" t="str">
        <f>HYPERLINK("https://czfondy.gs.com/o/nnirest/documents/newestFundDocument?isin=LU0119195450&amp;lan=cz&amp;type=pro_s&amp;web=cz","KID")</f>
        <v>KID</v>
      </c>
    </row>
    <row r="203" spans="1:12" s="2" customFormat="1" ht="45" x14ac:dyDescent="0.25">
      <c r="A203" s="6" t="s">
        <v>223</v>
      </c>
      <c r="B203" s="2" t="s">
        <v>224</v>
      </c>
      <c r="C203" s="3" t="s">
        <v>11</v>
      </c>
      <c r="D203" s="3" t="s">
        <v>62</v>
      </c>
      <c r="E203" s="3" t="s">
        <v>25</v>
      </c>
      <c r="F203" s="3" t="s">
        <v>13</v>
      </c>
      <c r="G203" s="3" t="s">
        <v>14</v>
      </c>
      <c r="H203" s="4" t="s">
        <v>26</v>
      </c>
      <c r="I203" s="8">
        <v>0</v>
      </c>
      <c r="J203" s="14">
        <v>4.2240000000000003E-3</v>
      </c>
      <c r="K203" s="3" t="s">
        <v>107</v>
      </c>
      <c r="L203" s="5" t="str">
        <f>HYPERLINK("https://www.franklintempleton.cz/download/cs-cz/key-information-document/3edcfa06-89ad-4e14-b2ed-03a8cb816d3f/PRIIPSEU_LU0131126228_cs_CZ.pdf","KID")</f>
        <v>KID</v>
      </c>
    </row>
    <row r="204" spans="1:12" ht="45" x14ac:dyDescent="0.25">
      <c r="A204" s="9" t="s">
        <v>234</v>
      </c>
      <c r="B204" t="s">
        <v>235</v>
      </c>
      <c r="C204" s="7" t="s">
        <v>11</v>
      </c>
      <c r="D204" s="7" t="s">
        <v>62</v>
      </c>
      <c r="E204" s="7" t="s">
        <v>25</v>
      </c>
      <c r="F204" s="7" t="s">
        <v>13</v>
      </c>
      <c r="G204" s="7" t="s">
        <v>14</v>
      </c>
      <c r="H204" s="10" t="s">
        <v>170</v>
      </c>
      <c r="I204" s="11">
        <v>0</v>
      </c>
      <c r="J204" s="13">
        <v>7.1999999999999998E-3</v>
      </c>
      <c r="K204" s="7" t="s">
        <v>107</v>
      </c>
      <c r="L204" s="12" t="str">
        <f>HYPERLINK("https://www.franklintempleton.cz/download/cs-cz/key-information-document/2c0a9bcd-08ee-43b6-a4fd-f8438e2d2be6/PRIIPSEU_LU0496367763_cs_CZ.pdf","KID")</f>
        <v>KID</v>
      </c>
    </row>
    <row r="205" spans="1:12" s="2" customFormat="1" ht="45" x14ac:dyDescent="0.25">
      <c r="A205" s="6" t="s">
        <v>239</v>
      </c>
      <c r="B205" s="2" t="s">
        <v>240</v>
      </c>
      <c r="C205" s="3" t="s">
        <v>11</v>
      </c>
      <c r="D205" s="3" t="s">
        <v>62</v>
      </c>
      <c r="E205" s="3" t="s">
        <v>25</v>
      </c>
      <c r="F205" s="3" t="s">
        <v>76</v>
      </c>
      <c r="G205" s="3" t="s">
        <v>14</v>
      </c>
      <c r="H205" s="4" t="s">
        <v>67</v>
      </c>
      <c r="I205" s="8">
        <v>0</v>
      </c>
      <c r="J205" s="14">
        <v>7.1999999999999998E-3</v>
      </c>
      <c r="K205" s="3" t="s">
        <v>107</v>
      </c>
      <c r="L205" s="5" t="str">
        <f>HYPERLINK("https://www.franklintempleton.cz/download/cs-cz/key-information-document/e0bfa46f-7d19-4639-9cec-77d57d49dba5/PRIIPSEU_LU1704830576_cs_CZ.pdf","KID")</f>
        <v>KID</v>
      </c>
    </row>
    <row r="206" spans="1:12" ht="45" x14ac:dyDescent="0.25">
      <c r="A206" s="9" t="s">
        <v>247</v>
      </c>
      <c r="B206" t="s">
        <v>248</v>
      </c>
      <c r="C206" s="7" t="s">
        <v>11</v>
      </c>
      <c r="D206" s="7" t="s">
        <v>62</v>
      </c>
      <c r="E206" s="7" t="s">
        <v>25</v>
      </c>
      <c r="F206" s="7" t="s">
        <v>13</v>
      </c>
      <c r="G206" s="7" t="s">
        <v>14</v>
      </c>
      <c r="H206" s="10" t="s">
        <v>26</v>
      </c>
      <c r="I206" s="11">
        <v>0</v>
      </c>
      <c r="J206" s="13">
        <v>5.0400000000000002E-3</v>
      </c>
      <c r="K206" s="7" t="s">
        <v>107</v>
      </c>
      <c r="L206" s="12" t="str">
        <f>HYPERLINK("https://www.franklintempleton.cz/download/cs-cz/key-information-document/7694a655-b508-4c99-9674-2f66b47c50ef/PRIIPSEU_LU0768356593_cs_CZ.pdf","KID")</f>
        <v>KID</v>
      </c>
    </row>
    <row r="207" spans="1:12" s="2" customFormat="1" ht="45" x14ac:dyDescent="0.25">
      <c r="A207" s="6" t="s">
        <v>402</v>
      </c>
      <c r="B207" s="2" t="s">
        <v>249</v>
      </c>
      <c r="C207" s="3" t="s">
        <v>11</v>
      </c>
      <c r="D207" s="3" t="s">
        <v>62</v>
      </c>
      <c r="E207" s="3" t="s">
        <v>25</v>
      </c>
      <c r="F207" s="3" t="s">
        <v>76</v>
      </c>
      <c r="G207" s="3" t="s">
        <v>14</v>
      </c>
      <c r="H207" s="4" t="s">
        <v>96</v>
      </c>
      <c r="I207" s="8">
        <v>0</v>
      </c>
      <c r="J207" s="14">
        <v>1.008E-2</v>
      </c>
      <c r="K207" s="3" t="s">
        <v>107</v>
      </c>
      <c r="L207" s="5" t="str">
        <f>HYPERLINK("https://www.franklintempleton.cz/download/cs-cz/key-information-document/6a053f91-e60f-477e-b040-9847777a51d4/PRIIPSEU_LU0229946628_cs_CZ.pdf","KID")</f>
        <v>KID</v>
      </c>
    </row>
    <row r="208" spans="1:12" ht="45" x14ac:dyDescent="0.25">
      <c r="A208" s="9" t="s">
        <v>252</v>
      </c>
      <c r="B208" t="s">
        <v>253</v>
      </c>
      <c r="C208" s="7" t="s">
        <v>11</v>
      </c>
      <c r="D208" s="7" t="s">
        <v>62</v>
      </c>
      <c r="E208" s="7" t="s">
        <v>25</v>
      </c>
      <c r="F208" s="7" t="s">
        <v>13</v>
      </c>
      <c r="G208" s="7" t="s">
        <v>14</v>
      </c>
      <c r="H208" s="10" t="s">
        <v>26</v>
      </c>
      <c r="I208" s="11">
        <v>0</v>
      </c>
      <c r="J208" s="13">
        <v>6.4799999999999996E-3</v>
      </c>
      <c r="K208" s="7" t="s">
        <v>107</v>
      </c>
      <c r="L208" s="12" t="str">
        <f>HYPERLINK("https://www.franklintempleton.cz/download/cs-cz/key-information-document/185bc16f-9535-491e-af75-0f684d2e0c5d/PRIIPSEU_LU1162221912_cs_CZ.pdf","KID")</f>
        <v>KID</v>
      </c>
    </row>
    <row r="209" spans="1:12" s="2" customFormat="1" ht="45" x14ac:dyDescent="0.25">
      <c r="A209" s="6" t="s">
        <v>254</v>
      </c>
      <c r="B209" s="2" t="s">
        <v>255</v>
      </c>
      <c r="C209" s="3" t="s">
        <v>11</v>
      </c>
      <c r="D209" s="3" t="s">
        <v>62</v>
      </c>
      <c r="E209" s="3" t="s">
        <v>25</v>
      </c>
      <c r="F209" s="3" t="s">
        <v>76</v>
      </c>
      <c r="G209" s="3" t="s">
        <v>14</v>
      </c>
      <c r="H209" s="4" t="s">
        <v>67</v>
      </c>
      <c r="I209" s="8">
        <v>0</v>
      </c>
      <c r="J209" s="14">
        <v>1.008E-2</v>
      </c>
      <c r="K209" s="3" t="s">
        <v>107</v>
      </c>
      <c r="L209" s="5" t="str">
        <f>HYPERLINK("https://www.franklintempleton.cz/download/cs-cz/key-information-document/9a21917b-97cd-4890-9ad1-efe403988287/PRIIPSEU_LU0390137031_cs_CZ.pdf","KID")</f>
        <v>KID</v>
      </c>
    </row>
    <row r="210" spans="1:12" ht="45" x14ac:dyDescent="0.25">
      <c r="A210" s="9" t="s">
        <v>256</v>
      </c>
      <c r="B210" t="s">
        <v>257</v>
      </c>
      <c r="C210" s="7" t="s">
        <v>11</v>
      </c>
      <c r="D210" s="7" t="s">
        <v>62</v>
      </c>
      <c r="E210" s="7" t="s">
        <v>25</v>
      </c>
      <c r="F210" s="7" t="s">
        <v>76</v>
      </c>
      <c r="G210" s="7" t="s">
        <v>14</v>
      </c>
      <c r="H210" s="10" t="s">
        <v>96</v>
      </c>
      <c r="I210" s="11">
        <v>0</v>
      </c>
      <c r="J210" s="13">
        <v>7.92E-3</v>
      </c>
      <c r="K210" s="7" t="s">
        <v>107</v>
      </c>
      <c r="L210" s="12" t="str">
        <f>HYPERLINK("https://www.franklintempleton.cz/download/cs-cz/key-information-document/c85aec0c-cc56-41b8-bcee-6a4402237939/PRIIPSEU_LU0128522744_cs_CZ.pdf","KID")</f>
        <v>KID</v>
      </c>
    </row>
    <row r="211" spans="1:12" s="2" customFormat="1" ht="45" x14ac:dyDescent="0.25">
      <c r="A211" s="6" t="s">
        <v>263</v>
      </c>
      <c r="B211" s="2" t="s">
        <v>264</v>
      </c>
      <c r="C211" s="3" t="s">
        <v>11</v>
      </c>
      <c r="D211" s="3" t="s">
        <v>62</v>
      </c>
      <c r="E211" s="3" t="s">
        <v>25</v>
      </c>
      <c r="F211" s="3" t="s">
        <v>76</v>
      </c>
      <c r="G211" s="3" t="s">
        <v>14</v>
      </c>
      <c r="H211" s="4" t="s">
        <v>96</v>
      </c>
      <c r="I211" s="8">
        <v>0</v>
      </c>
      <c r="J211" s="14">
        <v>8.879999999999999E-3</v>
      </c>
      <c r="K211" s="3" t="s">
        <v>107</v>
      </c>
      <c r="L211" s="5" t="str">
        <f>HYPERLINK("https://www.franklintempleton.cz/download/cs-cz/key-information-document/75db1c57-057e-4581-a710-fd18fb3235ad/PRIIPSEU_LU0128522157_cs_CZ.pdf","KID")</f>
        <v>KID</v>
      </c>
    </row>
    <row r="212" spans="1:12" ht="45" x14ac:dyDescent="0.25">
      <c r="A212" s="9" t="s">
        <v>268</v>
      </c>
      <c r="B212" t="s">
        <v>269</v>
      </c>
      <c r="C212" s="7" t="s">
        <v>11</v>
      </c>
      <c r="D212" s="7" t="s">
        <v>62</v>
      </c>
      <c r="E212" s="7" t="s">
        <v>25</v>
      </c>
      <c r="F212" s="7" t="s">
        <v>13</v>
      </c>
      <c r="G212" s="7" t="s">
        <v>14</v>
      </c>
      <c r="H212" s="10" t="s">
        <v>96</v>
      </c>
      <c r="I212" s="11">
        <v>0</v>
      </c>
      <c r="J212" s="13">
        <v>1.0799999999999999E-2</v>
      </c>
      <c r="K212" s="7" t="s">
        <v>107</v>
      </c>
      <c r="L212" s="12" t="str">
        <f>HYPERLINK("https://www.franklintempleton.cz/download/cs-cz/key-information-document/2fcaca61-5e41-4d04-973e-30cd74a6cc59/PRIIPSEU_LU0122613655_cs_CZ.pdf","KID")</f>
        <v>KID</v>
      </c>
    </row>
    <row r="213" spans="1:12" s="2" customFormat="1" ht="45" x14ac:dyDescent="0.25">
      <c r="A213" s="6" t="s">
        <v>270</v>
      </c>
      <c r="B213" s="2" t="s">
        <v>271</v>
      </c>
      <c r="C213" s="3" t="s">
        <v>11</v>
      </c>
      <c r="D213" s="3" t="s">
        <v>62</v>
      </c>
      <c r="E213" s="3" t="s">
        <v>25</v>
      </c>
      <c r="F213" s="3" t="s">
        <v>76</v>
      </c>
      <c r="G213" s="3" t="s">
        <v>14</v>
      </c>
      <c r="H213" s="4" t="s">
        <v>67</v>
      </c>
      <c r="I213" s="8">
        <v>0</v>
      </c>
      <c r="J213" s="14">
        <v>1.008E-2</v>
      </c>
      <c r="K213" s="3" t="s">
        <v>107</v>
      </c>
      <c r="L213" s="5" t="str">
        <f>HYPERLINK("https://www.franklintempleton.cz/download/cs-cz/key-information-document/e371c8b8-68b0-4021-b5de-98ec15f3ffbd/PRIIPSEU_LU0390136736_cs_CZ.pdf","KID")</f>
        <v>KID</v>
      </c>
    </row>
    <row r="214" spans="1:12" ht="45" x14ac:dyDescent="0.25">
      <c r="A214" s="9" t="s">
        <v>278</v>
      </c>
      <c r="B214" t="s">
        <v>279</v>
      </c>
      <c r="C214" s="7" t="s">
        <v>11</v>
      </c>
      <c r="D214" s="7" t="s">
        <v>62</v>
      </c>
      <c r="E214" s="7" t="s">
        <v>25</v>
      </c>
      <c r="F214" s="7" t="s">
        <v>76</v>
      </c>
      <c r="G214" s="7" t="s">
        <v>14</v>
      </c>
      <c r="H214" s="10" t="s">
        <v>96</v>
      </c>
      <c r="I214" s="11">
        <v>0</v>
      </c>
      <c r="J214" s="13">
        <v>7.1999999999999998E-3</v>
      </c>
      <c r="K214" s="7" t="s">
        <v>107</v>
      </c>
      <c r="L214" s="12" t="str">
        <f>HYPERLINK("https://www.franklintempleton.cz/download/cs-cz/key-information-document/acecba43-d0bd-492e-a0a9-c38fd3ed036a/PRIIPSEU_LU2310757120_cs_CZ.pdf","KID")</f>
        <v>KID</v>
      </c>
    </row>
    <row r="215" spans="1:12" s="2" customFormat="1" ht="45" x14ac:dyDescent="0.25">
      <c r="A215" s="6" t="s">
        <v>280</v>
      </c>
      <c r="B215" s="2" t="s">
        <v>281</v>
      </c>
      <c r="C215" s="3" t="s">
        <v>11</v>
      </c>
      <c r="D215" s="3" t="s">
        <v>62</v>
      </c>
      <c r="E215" s="3" t="s">
        <v>25</v>
      </c>
      <c r="F215" s="3" t="s">
        <v>13</v>
      </c>
      <c r="G215" s="3" t="s">
        <v>14</v>
      </c>
      <c r="H215" s="4" t="s">
        <v>67</v>
      </c>
      <c r="I215" s="8">
        <v>0</v>
      </c>
      <c r="J215" s="14">
        <v>1.008E-2</v>
      </c>
      <c r="K215" s="3" t="s">
        <v>107</v>
      </c>
      <c r="L215" s="5" t="str">
        <f>HYPERLINK("https://www.franklintempleton.cz/download/cs-cz/key-information-document/359a1037-d65f-4f49-83d6-91f15d60d7dc/PRIIPSEU_LU0390137627_cs_CZ.pdf","KID")</f>
        <v>KID</v>
      </c>
    </row>
    <row r="216" spans="1:12" ht="45" x14ac:dyDescent="0.25">
      <c r="A216" s="9" t="s">
        <v>288</v>
      </c>
      <c r="B216" t="s">
        <v>289</v>
      </c>
      <c r="C216" s="7" t="s">
        <v>11</v>
      </c>
      <c r="D216" s="7" t="s">
        <v>62</v>
      </c>
      <c r="E216" s="7" t="s">
        <v>25</v>
      </c>
      <c r="F216" s="7" t="s">
        <v>13</v>
      </c>
      <c r="G216" s="7" t="s">
        <v>14</v>
      </c>
      <c r="H216" s="10" t="s">
        <v>96</v>
      </c>
      <c r="I216" s="11">
        <v>0</v>
      </c>
      <c r="J216" s="13">
        <v>7.1999999999999998E-3</v>
      </c>
      <c r="K216" s="7" t="s">
        <v>107</v>
      </c>
      <c r="L216" s="12" t="str">
        <f>HYPERLINK("https://www.franklintempleton.cz/download/cs-cz/key-information-document/318fe2cc-2414-414e-8e72-0ae6d8a4c68b/PRIIPSEU_LU2075955273_cs_CZ.pdf","KID")</f>
        <v>KID</v>
      </c>
    </row>
    <row r="217" spans="1:12" s="2" customFormat="1" ht="45" x14ac:dyDescent="0.25">
      <c r="A217" s="6" t="s">
        <v>404</v>
      </c>
      <c r="B217" s="2" t="s">
        <v>290</v>
      </c>
      <c r="C217" s="3" t="s">
        <v>11</v>
      </c>
      <c r="D217" s="3" t="s">
        <v>62</v>
      </c>
      <c r="E217" s="3" t="s">
        <v>25</v>
      </c>
      <c r="F217" s="3" t="s">
        <v>13</v>
      </c>
      <c r="G217" s="3" t="s">
        <v>14</v>
      </c>
      <c r="H217" s="4" t="s">
        <v>26</v>
      </c>
      <c r="I217" s="8">
        <v>0</v>
      </c>
      <c r="J217" s="14">
        <v>6.2399999999999999E-3</v>
      </c>
      <c r="K217" s="3" t="s">
        <v>107</v>
      </c>
      <c r="L217" s="5" t="str">
        <f>HYPERLINK("https://www.franklintempleton.cz/download/cs-cz/key-information-document/7271c368-a2b6-47ff-a7f2-16d8ffd021dd/PRIIPSEU_LU0128525689_cs_CZ.pdf","KID")</f>
        <v>KID</v>
      </c>
    </row>
    <row r="218" spans="1:12" ht="45" x14ac:dyDescent="0.25">
      <c r="A218" s="9" t="s">
        <v>293</v>
      </c>
      <c r="B218" t="s">
        <v>294</v>
      </c>
      <c r="C218" s="7" t="s">
        <v>11</v>
      </c>
      <c r="D218" s="7" t="s">
        <v>62</v>
      </c>
      <c r="E218" s="7" t="s">
        <v>25</v>
      </c>
      <c r="F218" s="7" t="s">
        <v>76</v>
      </c>
      <c r="G218" s="7" t="s">
        <v>14</v>
      </c>
      <c r="H218" s="10" t="s">
        <v>67</v>
      </c>
      <c r="I218" s="11">
        <v>0</v>
      </c>
      <c r="J218" s="13">
        <v>7.1999999999999998E-3</v>
      </c>
      <c r="K218" s="7" t="s">
        <v>107</v>
      </c>
      <c r="L218" s="12" t="str">
        <f>HYPERLINK("https://www.franklintempleton.cz/download/cs-cz/key-information-document/7a86f221-3a19-446c-ba94-ad261c1b3220/PRIIPSEU_LU0140363002_cs_CZ.pdf","KID")</f>
        <v>KID</v>
      </c>
    </row>
    <row r="219" spans="1:12" s="2" customFormat="1" ht="45" x14ac:dyDescent="0.25">
      <c r="A219" s="6" t="s">
        <v>403</v>
      </c>
      <c r="B219" s="2" t="s">
        <v>297</v>
      </c>
      <c r="C219" s="3" t="s">
        <v>11</v>
      </c>
      <c r="D219" s="3" t="s">
        <v>62</v>
      </c>
      <c r="E219" s="3" t="s">
        <v>25</v>
      </c>
      <c r="F219" s="3" t="s">
        <v>76</v>
      </c>
      <c r="G219" s="3" t="s">
        <v>14</v>
      </c>
      <c r="H219" s="4" t="s">
        <v>67</v>
      </c>
      <c r="I219" s="8">
        <v>0</v>
      </c>
      <c r="J219" s="14">
        <v>7.1999999999999998E-3</v>
      </c>
      <c r="K219" s="3" t="s">
        <v>107</v>
      </c>
      <c r="L219" s="5" t="str">
        <f>HYPERLINK("https://www.franklintempleton.cz/download/cs-cz/key-information-document/acba97bf-352d-49f0-8afc-c8276a1afe8d/PRIIPSEU_LU0128525929_cs_CZ.pdf","KID")</f>
        <v>KID</v>
      </c>
    </row>
    <row r="220" spans="1:12" ht="45" x14ac:dyDescent="0.25">
      <c r="A220" s="9" t="s">
        <v>298</v>
      </c>
      <c r="B220" t="s">
        <v>299</v>
      </c>
      <c r="C220" s="7" t="s">
        <v>11</v>
      </c>
      <c r="D220" s="7" t="s">
        <v>62</v>
      </c>
      <c r="E220" s="7" t="s">
        <v>25</v>
      </c>
      <c r="F220" s="7" t="s">
        <v>13</v>
      </c>
      <c r="G220" s="7" t="s">
        <v>14</v>
      </c>
      <c r="H220" s="10" t="s">
        <v>22</v>
      </c>
      <c r="I220" s="11">
        <v>0</v>
      </c>
      <c r="J220" s="13">
        <v>4.6079999999999992E-3</v>
      </c>
      <c r="K220" s="7" t="s">
        <v>107</v>
      </c>
      <c r="L220" s="12" t="str">
        <f>HYPERLINK("https://www.franklintempleton.cz/download/cs-cz/key-information-document/fd7814cd-9955-4a8b-bab1-6136ad4dc746/PRIIPSEU_LU0131126574_cs_CZ.pdf","KID")</f>
        <v>KID</v>
      </c>
    </row>
    <row r="221" spans="1:12" s="2" customFormat="1" ht="45" x14ac:dyDescent="0.25">
      <c r="A221" s="6" t="s">
        <v>306</v>
      </c>
      <c r="B221" s="2" t="s">
        <v>307</v>
      </c>
      <c r="C221" s="3" t="s">
        <v>11</v>
      </c>
      <c r="D221" s="3" t="s">
        <v>62</v>
      </c>
      <c r="E221" s="3" t="s">
        <v>25</v>
      </c>
      <c r="F221" s="3" t="s">
        <v>76</v>
      </c>
      <c r="G221" s="3" t="s">
        <v>14</v>
      </c>
      <c r="H221" s="4" t="s">
        <v>67</v>
      </c>
      <c r="I221" s="8">
        <v>0</v>
      </c>
      <c r="J221" s="14">
        <v>1.008E-2</v>
      </c>
      <c r="K221" s="3" t="s">
        <v>107</v>
      </c>
      <c r="L221" s="5" t="str">
        <f>HYPERLINK("https://www.franklintempleton.cz/download/cs-cz/key-information-document/fb90d08e-26fe-47d2-ba3b-35198ae3982d/PRIIPSEU_LU0300743431_cs_CZ.pdf","KID")</f>
        <v>KID</v>
      </c>
    </row>
    <row r="222" spans="1:12" ht="45" x14ac:dyDescent="0.25">
      <c r="A222" s="9" t="s">
        <v>405</v>
      </c>
      <c r="B222" t="s">
        <v>309</v>
      </c>
      <c r="C222" s="7" t="s">
        <v>11</v>
      </c>
      <c r="D222" s="7" t="s">
        <v>62</v>
      </c>
      <c r="E222" s="7" t="s">
        <v>25</v>
      </c>
      <c r="F222" s="7" t="s">
        <v>76</v>
      </c>
      <c r="G222" s="7" t="s">
        <v>14</v>
      </c>
      <c r="H222" s="10" t="s">
        <v>96</v>
      </c>
      <c r="I222" s="11">
        <v>0</v>
      </c>
      <c r="J222" s="13">
        <v>7.1999999999999998E-3</v>
      </c>
      <c r="K222" s="7" t="s">
        <v>107</v>
      </c>
      <c r="L222" s="12" t="str">
        <f>HYPERLINK("https://www.franklintempleton.cz/download/cs-cz/key-information-document/e8470aba-fc58-4c4c-8738-d7c02df6975c/PRIIPSEU_LU0231790675_cs_CZ.pdf","KID")</f>
        <v>KID</v>
      </c>
    </row>
    <row r="223" spans="1:12" s="2" customFormat="1" ht="45" x14ac:dyDescent="0.25">
      <c r="A223" s="6" t="s">
        <v>401</v>
      </c>
      <c r="B223" s="2" t="s">
        <v>316</v>
      </c>
      <c r="C223" s="3" t="s">
        <v>11</v>
      </c>
      <c r="D223" s="3" t="s">
        <v>62</v>
      </c>
      <c r="E223" s="3" t="s">
        <v>25</v>
      </c>
      <c r="F223" s="3" t="s">
        <v>76</v>
      </c>
      <c r="G223" s="3" t="s">
        <v>14</v>
      </c>
      <c r="H223" s="4" t="s">
        <v>22</v>
      </c>
      <c r="I223" s="8">
        <v>0</v>
      </c>
      <c r="J223" s="14">
        <v>1.2239999999999999E-2</v>
      </c>
      <c r="K223" s="3" t="s">
        <v>107</v>
      </c>
      <c r="L223" s="5" t="str">
        <f>HYPERLINK("https://www.franklintempleton.cz/download/cs-cz/key-information-document/0df30cb0-b1e5-4669-bdd8-58fa559560f3/PRIIPSEU_LU1212701889_cs_CZ.pdf","KID")</f>
        <v>KID</v>
      </c>
    </row>
    <row r="224" spans="1:12" ht="45" x14ac:dyDescent="0.25">
      <c r="A224" s="9" t="s">
        <v>102</v>
      </c>
      <c r="B224" t="s">
        <v>103</v>
      </c>
      <c r="C224" s="7" t="s">
        <v>11</v>
      </c>
      <c r="D224" s="7" t="s">
        <v>62</v>
      </c>
      <c r="E224" s="7" t="s">
        <v>25</v>
      </c>
      <c r="F224" s="7" t="s">
        <v>13</v>
      </c>
      <c r="G224" s="7" t="s">
        <v>14</v>
      </c>
      <c r="H224" s="10" t="s">
        <v>67</v>
      </c>
      <c r="I224" s="11">
        <v>0</v>
      </c>
      <c r="J224" s="13">
        <v>9.5999999999999992E-3</v>
      </c>
      <c r="K224" s="7" t="s">
        <v>104</v>
      </c>
      <c r="L224" s="12" t="str">
        <f>HYPERLINK("https://api.fundinfo.com/document/a4b37a065b411d6d006a6f5710ab44f5_162166/PRP_CZ_cs_LU1542713687_YES_2026-03-03.pdf?apiKey=d84ea5a6-caca-4b8c-a1dc-94cb88b9ac7c","KID")</f>
        <v>KID</v>
      </c>
    </row>
    <row r="225" spans="1:12" s="2" customFormat="1" ht="45" x14ac:dyDescent="0.25">
      <c r="A225" s="6" t="s">
        <v>398</v>
      </c>
      <c r="B225" s="2" t="s">
        <v>108</v>
      </c>
      <c r="C225" s="3" t="s">
        <v>11</v>
      </c>
      <c r="D225" s="3" t="s">
        <v>62</v>
      </c>
      <c r="E225" s="3" t="s">
        <v>25</v>
      </c>
      <c r="F225" s="3" t="s">
        <v>13</v>
      </c>
      <c r="G225" s="3" t="s">
        <v>14</v>
      </c>
      <c r="H225" s="4" t="s">
        <v>67</v>
      </c>
      <c r="I225" s="8">
        <v>0</v>
      </c>
      <c r="J225" s="14">
        <v>8.6400000000000001E-3</v>
      </c>
      <c r="K225" s="3" t="s">
        <v>104</v>
      </c>
      <c r="L225" s="5" t="str">
        <f>HYPERLINK("https://api.fundinfo.com/document/185bbcbf0c3e64f6f99226fc0fffca08_160793/PRP_CZ_cs_LU0405488825_YES_2026-03-03.pdf?apiKey=d84ea5a6-caca-4b8c-a1dc-94cb88b9ac7c","KID")</f>
        <v>KID</v>
      </c>
    </row>
    <row r="226" spans="1:12" ht="45" x14ac:dyDescent="0.25">
      <c r="A226" s="9" t="s">
        <v>111</v>
      </c>
      <c r="B226" t="s">
        <v>112</v>
      </c>
      <c r="C226" s="7" t="s">
        <v>11</v>
      </c>
      <c r="D226" s="7" t="s">
        <v>62</v>
      </c>
      <c r="E226" s="7" t="s">
        <v>25</v>
      </c>
      <c r="F226" s="7" t="s">
        <v>13</v>
      </c>
      <c r="G226" s="7" t="s">
        <v>14</v>
      </c>
      <c r="H226" s="10" t="s">
        <v>67</v>
      </c>
      <c r="I226" s="11">
        <v>0</v>
      </c>
      <c r="J226" s="13">
        <v>9.5999999999999992E-3</v>
      </c>
      <c r="K226" s="7" t="s">
        <v>104</v>
      </c>
      <c r="L226" s="12" t="str">
        <f>HYPERLINK("https://api.fundinfo.com/document/ab828834c41141c73e56961b852d4181_161645/PRP_CZ_cs_LU0082087353_YES_2026-03-03.pdf?apiKey=d84ea5a6-caca-4b8c-a1dc-94cb88b9ac7c","KID")</f>
        <v>KID</v>
      </c>
    </row>
    <row r="227" spans="1:12" s="2" customFormat="1" ht="45" x14ac:dyDescent="0.25">
      <c r="A227" s="6" t="s">
        <v>395</v>
      </c>
      <c r="B227" s="2" t="s">
        <v>131</v>
      </c>
      <c r="C227" s="3" t="s">
        <v>11</v>
      </c>
      <c r="D227" s="3" t="s">
        <v>62</v>
      </c>
      <c r="E227" s="3" t="s">
        <v>25</v>
      </c>
      <c r="F227" s="3" t="s">
        <v>13</v>
      </c>
      <c r="G227" s="3" t="s">
        <v>14</v>
      </c>
      <c r="H227" s="4" t="s">
        <v>67</v>
      </c>
      <c r="I227" s="8">
        <v>0</v>
      </c>
      <c r="J227" s="14">
        <v>8.6400000000000001E-3</v>
      </c>
      <c r="K227" s="3" t="s">
        <v>104</v>
      </c>
      <c r="L227" s="5" t="str">
        <f>HYPERLINK("https://api.fundinfo.com/document/6ce7eaf7680e0cd3dd0c6f5fd04967c9_160931/PRP_CZ_cs_LU0405488742_YES_2026-03-03.pdf?apiKey=d84ea5a6-caca-4b8c-a1dc-94cb88b9ac7c","KID")</f>
        <v>KID</v>
      </c>
    </row>
    <row r="228" spans="1:12" ht="45" x14ac:dyDescent="0.25">
      <c r="A228" s="9" t="s">
        <v>396</v>
      </c>
      <c r="B228" t="s">
        <v>132</v>
      </c>
      <c r="C228" s="7" t="s">
        <v>11</v>
      </c>
      <c r="D228" s="7" t="s">
        <v>62</v>
      </c>
      <c r="E228" s="7" t="s">
        <v>25</v>
      </c>
      <c r="F228" s="7" t="s">
        <v>13</v>
      </c>
      <c r="G228" s="7" t="s">
        <v>14</v>
      </c>
      <c r="H228" s="10" t="s">
        <v>67</v>
      </c>
      <c r="I228" s="11">
        <v>0</v>
      </c>
      <c r="J228" s="13">
        <v>9.5999999999999992E-3</v>
      </c>
      <c r="K228" s="7" t="s">
        <v>104</v>
      </c>
      <c r="L228" s="12" t="str">
        <f>HYPERLINK("https://api.fundinfo.com/document/0e172591dd82b8995615dc0c3b58c1bf_161067/PRP_CZ_cs_LU0405489047_YES_2026-03-03.pdf?apiKey=d84ea5a6-caca-4b8c-a1dc-94cb88b9ac7c","KID")</f>
        <v>KID</v>
      </c>
    </row>
    <row r="229" spans="1:12" s="2" customFormat="1" ht="45" x14ac:dyDescent="0.25">
      <c r="A229" s="6" t="s">
        <v>394</v>
      </c>
      <c r="B229" s="2" t="s">
        <v>135</v>
      </c>
      <c r="C229" s="3" t="s">
        <v>11</v>
      </c>
      <c r="D229" s="3" t="s">
        <v>62</v>
      </c>
      <c r="E229" s="3" t="s">
        <v>25</v>
      </c>
      <c r="F229" s="3" t="s">
        <v>13</v>
      </c>
      <c r="G229" s="3" t="s">
        <v>14</v>
      </c>
      <c r="H229" s="4" t="s">
        <v>96</v>
      </c>
      <c r="I229" s="8">
        <v>0</v>
      </c>
      <c r="J229" s="14">
        <v>9.5999999999999992E-3</v>
      </c>
      <c r="K229" s="3" t="s">
        <v>104</v>
      </c>
      <c r="L229" s="5" t="str">
        <f>HYPERLINK("https://api.fundinfo.com/document/7b48188e423498b92403bcadc8a2707a_162438/PRP_CZ_cs_LU0799821219_YES_2026-03-03.pdf?apiKey=d84ea5a6-caca-4b8c-a1dc-94cb88b9ac7c","KID")</f>
        <v>KID</v>
      </c>
    </row>
    <row r="230" spans="1:12" ht="45" x14ac:dyDescent="0.25">
      <c r="A230" s="9" t="s">
        <v>399</v>
      </c>
      <c r="B230" t="s">
        <v>137</v>
      </c>
      <c r="C230" s="7" t="s">
        <v>11</v>
      </c>
      <c r="D230" s="7" t="s">
        <v>62</v>
      </c>
      <c r="E230" s="7" t="s">
        <v>25</v>
      </c>
      <c r="F230" s="7" t="s">
        <v>13</v>
      </c>
      <c r="G230" s="7" t="s">
        <v>14</v>
      </c>
      <c r="H230" s="10" t="s">
        <v>67</v>
      </c>
      <c r="I230" s="11">
        <v>0</v>
      </c>
      <c r="J230" s="13">
        <v>8.6400000000000001E-3</v>
      </c>
      <c r="K230" s="7" t="s">
        <v>104</v>
      </c>
      <c r="L230" s="12" t="str">
        <f>HYPERLINK("https://api.fundinfo.com/document/07e3f6cd1f6f73db9ced7c92f03719e0_160113/PRP_CZ_cs_LU0429745879_YES_2026-03-03.pdf?apiKey=d84ea5a6-caca-4b8c-a1dc-94cb88b9ac7c","KID")</f>
        <v>KID</v>
      </c>
    </row>
    <row r="231" spans="1:12" s="2" customFormat="1" ht="45" x14ac:dyDescent="0.25">
      <c r="A231" s="6" t="s">
        <v>150</v>
      </c>
      <c r="B231" s="2" t="s">
        <v>151</v>
      </c>
      <c r="C231" s="3" t="s">
        <v>11</v>
      </c>
      <c r="D231" s="3" t="s">
        <v>62</v>
      </c>
      <c r="E231" s="3" t="s">
        <v>25</v>
      </c>
      <c r="F231" s="3" t="s">
        <v>13</v>
      </c>
      <c r="G231" s="3" t="s">
        <v>14</v>
      </c>
      <c r="H231" s="4" t="s">
        <v>67</v>
      </c>
      <c r="I231" s="8">
        <v>0</v>
      </c>
      <c r="J231" s="14">
        <v>7.1999999999999998E-3</v>
      </c>
      <c r="K231" s="3" t="s">
        <v>104</v>
      </c>
      <c r="L231" s="5" t="str">
        <f>HYPERLINK("https://czfondy.gs.com/o/nnirest/documents/newestFundDocument?isin=LU0119216553&amp;lan=cz&amp;type=pro_s&amp;web=cz","KID")</f>
        <v>KID</v>
      </c>
    </row>
    <row r="232" spans="1:12" ht="45" x14ac:dyDescent="0.25">
      <c r="A232" s="9" t="s">
        <v>158</v>
      </c>
      <c r="B232" t="s">
        <v>159</v>
      </c>
      <c r="C232" s="7" t="s">
        <v>11</v>
      </c>
      <c r="D232" s="7" t="s">
        <v>62</v>
      </c>
      <c r="E232" s="7" t="s">
        <v>25</v>
      </c>
      <c r="F232" s="7" t="s">
        <v>13</v>
      </c>
      <c r="G232" s="7" t="s">
        <v>14</v>
      </c>
      <c r="H232" s="10" t="s">
        <v>67</v>
      </c>
      <c r="I232" s="11">
        <v>0</v>
      </c>
      <c r="J232" s="13">
        <v>8.6399999999999984E-3</v>
      </c>
      <c r="K232" s="7" t="s">
        <v>104</v>
      </c>
      <c r="L232" s="12" t="str">
        <f>HYPERLINK("https://czfondy.gs.com/o/nnirest/documents/newestFundDocument?isin=LU0113307978&amp;lan=cz&amp;type=pro_s&amp;web=cz","KID")</f>
        <v>KID</v>
      </c>
    </row>
    <row r="233" spans="1:12" s="2" customFormat="1" ht="45" x14ac:dyDescent="0.25">
      <c r="A233" s="6" t="s">
        <v>397</v>
      </c>
      <c r="B233" s="2" t="s">
        <v>236</v>
      </c>
      <c r="C233" s="3" t="s">
        <v>11</v>
      </c>
      <c r="D233" s="3" t="s">
        <v>62</v>
      </c>
      <c r="E233" s="3" t="s">
        <v>25</v>
      </c>
      <c r="F233" s="3" t="s">
        <v>13</v>
      </c>
      <c r="G233" s="3" t="s">
        <v>14</v>
      </c>
      <c r="H233" s="4" t="s">
        <v>67</v>
      </c>
      <c r="I233" s="8">
        <v>0</v>
      </c>
      <c r="J233" s="14">
        <v>8.6399999999999984E-3</v>
      </c>
      <c r="K233" s="3" t="s">
        <v>104</v>
      </c>
      <c r="L233" s="5" t="str">
        <f>HYPERLINK("https://api.fundinfo.com/document/d8be657a7e9a74adc89d63cb86de1dee_160655/PRP_CZ_cs_LU0113305253_YES_2026-03-03.pdf?apiKey=d84ea5a6-caca-4b8c-a1dc-94cb88b9ac7c","KID")</f>
        <v>KID</v>
      </c>
    </row>
    <row r="234" spans="1:12" ht="45" x14ac:dyDescent="0.25">
      <c r="A234" s="9" t="s">
        <v>241</v>
      </c>
      <c r="B234" t="s">
        <v>242</v>
      </c>
      <c r="C234" s="7" t="s">
        <v>11</v>
      </c>
      <c r="D234" s="7" t="s">
        <v>62</v>
      </c>
      <c r="E234" s="7" t="s">
        <v>25</v>
      </c>
      <c r="F234" s="7" t="s">
        <v>13</v>
      </c>
      <c r="G234" s="7" t="s">
        <v>14</v>
      </c>
      <c r="H234" s="10" t="s">
        <v>96</v>
      </c>
      <c r="I234" s="11">
        <v>0</v>
      </c>
      <c r="J234" s="13">
        <v>9.6000000000000009E-3</v>
      </c>
      <c r="K234" s="7" t="s">
        <v>104</v>
      </c>
      <c r="L234" s="12" t="str">
        <f>HYPERLINK("https://api.fundinfo.com/document/b1668cf8b7d675fc820a31cbee768927_161395/PRP_CZ_cs_LU2374236318_YES_2026-03-03.pdf?apiKey=d84ea5a6-caca-4b8c-a1dc-94cb88b9ac7c","KID")</f>
        <v>KID</v>
      </c>
    </row>
    <row r="235" spans="1:12" s="2" customFormat="1" ht="45" x14ac:dyDescent="0.25">
      <c r="A235" s="6" t="s">
        <v>245</v>
      </c>
      <c r="B235" s="2" t="s">
        <v>246</v>
      </c>
      <c r="C235" s="3" t="s">
        <v>11</v>
      </c>
      <c r="D235" s="3" t="s">
        <v>62</v>
      </c>
      <c r="E235" s="3" t="s">
        <v>25</v>
      </c>
      <c r="F235" s="3" t="s">
        <v>13</v>
      </c>
      <c r="G235" s="3" t="s">
        <v>14</v>
      </c>
      <c r="H235" s="4" t="s">
        <v>67</v>
      </c>
      <c r="I235" s="8">
        <v>0</v>
      </c>
      <c r="J235" s="14">
        <v>5.7600000000000004E-3</v>
      </c>
      <c r="K235" s="3" t="s">
        <v>104</v>
      </c>
      <c r="L235" s="5" t="str">
        <f>HYPERLINK("https://api.fundinfo.com/document/6b88240bb09d71c51a9442f18014c395_142211/PRP_CZ_cs_LU0119195450_YES_2026-03-03.pdf?apiKey=d84ea5a6-caca-4b8c-a1dc-94cb88b9ac7c","KID")</f>
        <v>KID</v>
      </c>
    </row>
    <row r="236" spans="1:12" ht="45" x14ac:dyDescent="0.25">
      <c r="A236" s="9" t="s">
        <v>250</v>
      </c>
      <c r="B236" t="s">
        <v>251</v>
      </c>
      <c r="C236" s="7" t="s">
        <v>11</v>
      </c>
      <c r="D236" s="7" t="s">
        <v>62</v>
      </c>
      <c r="E236" s="7" t="s">
        <v>128</v>
      </c>
      <c r="F236" s="7" t="s">
        <v>13</v>
      </c>
      <c r="G236" s="7" t="s">
        <v>14</v>
      </c>
      <c r="H236" s="10" t="s">
        <v>26</v>
      </c>
      <c r="I236" s="11">
        <v>0</v>
      </c>
      <c r="J236" s="13">
        <v>5.7600000000000004E-3</v>
      </c>
      <c r="K236" s="7" t="s">
        <v>104</v>
      </c>
      <c r="L236" s="12" t="str">
        <f>HYPERLINK("https://api.fundinfo.com/document/98f67832b86927c1949fb5e5981b8eab_160235/PRP_CZ_cs_LU2007298628_YES_2026-03-03.pdf?apiKey=d84ea5a6-caca-4b8c-a1dc-94cb88b9ac7c","KID")</f>
        <v>KID</v>
      </c>
    </row>
    <row r="237" spans="1:12" s="2" customFormat="1" ht="45" x14ac:dyDescent="0.25">
      <c r="A237" s="6" t="s">
        <v>393</v>
      </c>
      <c r="B237" s="2" t="s">
        <v>295</v>
      </c>
      <c r="C237" s="3" t="s">
        <v>11</v>
      </c>
      <c r="D237" s="3" t="s">
        <v>62</v>
      </c>
      <c r="E237" s="3" t="s">
        <v>25</v>
      </c>
      <c r="F237" s="3" t="s">
        <v>13</v>
      </c>
      <c r="G237" s="3" t="s">
        <v>14</v>
      </c>
      <c r="H237" s="4" t="s">
        <v>96</v>
      </c>
      <c r="I237" s="8">
        <v>0</v>
      </c>
      <c r="J237" s="14">
        <v>9.5999999999999992E-3</v>
      </c>
      <c r="K237" s="3" t="s">
        <v>104</v>
      </c>
      <c r="L237" s="5" t="str">
        <f>HYPERLINK("https://api.fundinfo.com/document/4570c072ef910b9686df8ff3c259459a_142426/PRP_CZ_cs_LU0127786860_YES_2026-03-03.pdf?apiKey=d84ea5a6-caca-4b8c-a1dc-94cb88b9ac7c","KID")</f>
        <v>KID</v>
      </c>
    </row>
    <row r="238" spans="1:12" ht="45" x14ac:dyDescent="0.25">
      <c r="A238" s="9" t="s">
        <v>300</v>
      </c>
      <c r="B238" t="s">
        <v>301</v>
      </c>
      <c r="C238" s="7" t="s">
        <v>11</v>
      </c>
      <c r="D238" s="7" t="s">
        <v>62</v>
      </c>
      <c r="E238" s="7" t="s">
        <v>25</v>
      </c>
      <c r="F238" s="7" t="s">
        <v>13</v>
      </c>
      <c r="G238" s="7" t="s">
        <v>14</v>
      </c>
      <c r="H238" s="10" t="s">
        <v>67</v>
      </c>
      <c r="I238" s="11">
        <v>0</v>
      </c>
      <c r="J238" s="13">
        <v>9.5999999999999992E-3</v>
      </c>
      <c r="K238" s="7" t="s">
        <v>104</v>
      </c>
      <c r="L238" s="12" t="str">
        <f>HYPERLINK("https://api.fundinfo.com/document/a5d1da7e51430c8ee127fe0ec6699964_162184/PRP_CZ_cs_LU0176676459_YES_2026-03-03.pdf?apiKey=d84ea5a6-caca-4b8c-a1dc-94cb88b9ac7c","KID")</f>
        <v>KID</v>
      </c>
    </row>
    <row r="239" spans="1:12" s="2" customFormat="1" ht="45" x14ac:dyDescent="0.25">
      <c r="A239" s="6" t="s">
        <v>304</v>
      </c>
      <c r="B239" s="2" t="s">
        <v>305</v>
      </c>
      <c r="C239" s="3" t="s">
        <v>11</v>
      </c>
      <c r="D239" s="3" t="s">
        <v>62</v>
      </c>
      <c r="E239" s="3" t="s">
        <v>25</v>
      </c>
      <c r="F239" s="3" t="s">
        <v>13</v>
      </c>
      <c r="G239" s="3" t="s">
        <v>14</v>
      </c>
      <c r="H239" s="4" t="s">
        <v>67</v>
      </c>
      <c r="I239" s="8">
        <v>0</v>
      </c>
      <c r="J239" s="14">
        <v>9.5999999999999992E-3</v>
      </c>
      <c r="K239" s="3" t="s">
        <v>104</v>
      </c>
      <c r="L239" s="5" t="str">
        <f>HYPERLINK("https://api.fundinfo.com/document/5e5a83f55c5b672619dc3851c21efe2d_161611/PRP_CZ_cs_LU0120667240_YES_2026-03-03.pdf?apiKey=d84ea5a6-caca-4b8c-a1dc-94cb88b9ac7c","KID")</f>
        <v>KID</v>
      </c>
    </row>
    <row r="240" spans="1:12" ht="45" x14ac:dyDescent="0.25">
      <c r="A240" s="9" t="s">
        <v>323</v>
      </c>
      <c r="B240" t="s">
        <v>308</v>
      </c>
      <c r="C240" s="7" t="s">
        <v>11</v>
      </c>
      <c r="D240" s="7" t="s">
        <v>62</v>
      </c>
      <c r="E240" s="7" t="s">
        <v>25</v>
      </c>
      <c r="F240" s="7" t="s">
        <v>13</v>
      </c>
      <c r="G240" s="7" t="s">
        <v>14</v>
      </c>
      <c r="H240" s="10" t="s">
        <v>96</v>
      </c>
      <c r="I240" s="11">
        <v>0</v>
      </c>
      <c r="J240" s="13">
        <v>9.5999999999999992E-3</v>
      </c>
      <c r="K240" s="7" t="s">
        <v>104</v>
      </c>
      <c r="L240" s="12" t="str">
        <f>HYPERLINK("https://www.atlantik.cz/fond-dokument/LU0121175821/0","KID")</f>
        <v>KID</v>
      </c>
    </row>
    <row r="241" spans="1:12" s="2" customFormat="1" ht="45" x14ac:dyDescent="0.25">
      <c r="A241" s="6" t="s">
        <v>69</v>
      </c>
      <c r="B241" s="2" t="s">
        <v>10</v>
      </c>
      <c r="C241" s="3" t="s">
        <v>11</v>
      </c>
      <c r="D241" s="3" t="s">
        <v>62</v>
      </c>
      <c r="E241" s="3" t="s">
        <v>12</v>
      </c>
      <c r="F241" s="3" t="s">
        <v>13</v>
      </c>
      <c r="G241" s="3" t="s">
        <v>14</v>
      </c>
      <c r="H241" s="4" t="s">
        <v>15</v>
      </c>
      <c r="I241" s="8">
        <v>0</v>
      </c>
      <c r="J241" s="14">
        <v>1.17E-2</v>
      </c>
      <c r="K241" s="3" t="s">
        <v>439</v>
      </c>
      <c r="L241" s="5" t="str">
        <f>HYPERLINK("https://www.jtis.cz/download/5/2/8/1/BCZKID.pdf","KID")</f>
        <v>KID</v>
      </c>
    </row>
    <row r="242" spans="1:12" ht="45" x14ac:dyDescent="0.25">
      <c r="A242" s="9" t="s">
        <v>70</v>
      </c>
      <c r="B242" t="s">
        <v>16</v>
      </c>
      <c r="C242" s="7" t="s">
        <v>11</v>
      </c>
      <c r="D242" s="7" t="s">
        <v>62</v>
      </c>
      <c r="E242" s="7" t="s">
        <v>17</v>
      </c>
      <c r="F242" s="7" t="s">
        <v>13</v>
      </c>
      <c r="G242" s="7" t="s">
        <v>14</v>
      </c>
      <c r="H242" s="10" t="s">
        <v>18</v>
      </c>
      <c r="I242" s="11">
        <v>0</v>
      </c>
      <c r="J242" s="13">
        <v>8.9999999999999993E-3</v>
      </c>
      <c r="K242" s="7" t="s">
        <v>439</v>
      </c>
      <c r="L242" s="12" t="str">
        <f>HYPERLINK("https://www.jtis.cz/download/5/2/8/3/CAFKID.pdf","KID")</f>
        <v>KID</v>
      </c>
    </row>
    <row r="243" spans="1:12" s="2" customFormat="1" ht="45" x14ac:dyDescent="0.25">
      <c r="A243" s="6" t="s">
        <v>19</v>
      </c>
      <c r="B243" s="2" t="s">
        <v>20</v>
      </c>
      <c r="C243" s="3" t="s">
        <v>11</v>
      </c>
      <c r="D243" s="3" t="s">
        <v>62</v>
      </c>
      <c r="E243" s="3" t="s">
        <v>21</v>
      </c>
      <c r="F243" s="3" t="s">
        <v>13</v>
      </c>
      <c r="G243" s="3" t="s">
        <v>14</v>
      </c>
      <c r="H243" s="4" t="s">
        <v>15</v>
      </c>
      <c r="I243" s="8">
        <v>0</v>
      </c>
      <c r="J243" s="14">
        <v>1.17E-2</v>
      </c>
      <c r="K243" s="3" t="s">
        <v>439</v>
      </c>
      <c r="L243" s="5" t="str">
        <f>HYPERLINK("https://www.jtis.cz/download/5/2/8/5/FLXKID.pdf","KID")</f>
        <v>KID</v>
      </c>
    </row>
    <row r="244" spans="1:12" ht="45" x14ac:dyDescent="0.25">
      <c r="A244" s="9" t="s">
        <v>23</v>
      </c>
      <c r="B244" t="s">
        <v>24</v>
      </c>
      <c r="C244" s="7" t="s">
        <v>11</v>
      </c>
      <c r="D244" s="7" t="s">
        <v>62</v>
      </c>
      <c r="E244" s="7" t="s">
        <v>25</v>
      </c>
      <c r="F244" s="7" t="s">
        <v>13</v>
      </c>
      <c r="G244" s="7" t="s">
        <v>14</v>
      </c>
      <c r="H244" s="10" t="s">
        <v>26</v>
      </c>
      <c r="I244" s="11">
        <v>0</v>
      </c>
      <c r="J244" s="13">
        <v>1.17E-2</v>
      </c>
      <c r="K244" s="7" t="s">
        <v>439</v>
      </c>
      <c r="L244" s="12" t="str">
        <f>HYPERLINK("https://www.jtis.cz/download/5/3/0/7/RADKID.pdf","KID")</f>
        <v>KID</v>
      </c>
    </row>
    <row r="245" spans="1:12" s="2" customFormat="1" ht="45" x14ac:dyDescent="0.25">
      <c r="A245" s="6" t="s">
        <v>27</v>
      </c>
      <c r="B245" s="2" t="s">
        <v>28</v>
      </c>
      <c r="C245" s="3" t="s">
        <v>11</v>
      </c>
      <c r="D245" s="3" t="s">
        <v>62</v>
      </c>
      <c r="E245" s="3" t="s">
        <v>12</v>
      </c>
      <c r="F245" s="3" t="s">
        <v>13</v>
      </c>
      <c r="G245" s="3" t="s">
        <v>14</v>
      </c>
      <c r="H245" s="4" t="s">
        <v>22</v>
      </c>
      <c r="I245" s="8">
        <v>0</v>
      </c>
      <c r="J245" s="14">
        <v>6.5000000000000006E-3</v>
      </c>
      <c r="K245" s="3" t="s">
        <v>439</v>
      </c>
      <c r="L245" s="5" t="str">
        <f>HYPERLINK("https://www.jtis.cz/download/5/3/5/9/MCOKID.pdf","KID")</f>
        <v>KID</v>
      </c>
    </row>
    <row r="246" spans="1:12" ht="45" x14ac:dyDescent="0.25">
      <c r="A246" s="9" t="s">
        <v>29</v>
      </c>
      <c r="B246" t="s">
        <v>30</v>
      </c>
      <c r="C246" s="7" t="s">
        <v>11</v>
      </c>
      <c r="D246" s="7" t="s">
        <v>62</v>
      </c>
      <c r="E246" s="7" t="s">
        <v>25</v>
      </c>
      <c r="F246" s="7" t="s">
        <v>13</v>
      </c>
      <c r="G246" s="7" t="s">
        <v>14</v>
      </c>
      <c r="H246" s="10" t="s">
        <v>26</v>
      </c>
      <c r="I246" s="11">
        <v>0</v>
      </c>
      <c r="J246" s="13">
        <v>9.75E-3</v>
      </c>
      <c r="K246" s="7" t="s">
        <v>439</v>
      </c>
      <c r="L246" s="12" t="str">
        <f>HYPERLINK("https://www.jtis.cz/download/5/3/7/4/MDIKID.pdf","KID")</f>
        <v>KID</v>
      </c>
    </row>
    <row r="247" spans="1:12" s="2" customFormat="1" ht="45" x14ac:dyDescent="0.25">
      <c r="A247" s="6" t="s">
        <v>31</v>
      </c>
      <c r="B247" s="2" t="s">
        <v>32</v>
      </c>
      <c r="C247" s="3" t="s">
        <v>11</v>
      </c>
      <c r="D247" s="3" t="s">
        <v>62</v>
      </c>
      <c r="E247" s="3" t="s">
        <v>12</v>
      </c>
      <c r="F247" s="3" t="s">
        <v>13</v>
      </c>
      <c r="G247" s="3" t="s">
        <v>14</v>
      </c>
      <c r="H247" s="4" t="s">
        <v>22</v>
      </c>
      <c r="I247" s="8">
        <v>0</v>
      </c>
      <c r="J247" s="14">
        <v>1.235E-2</v>
      </c>
      <c r="K247" s="3" t="s">
        <v>439</v>
      </c>
      <c r="L247" s="5" t="str">
        <f>HYPERLINK("https://www.jtis.cz/download/5/2/8/9/LBAKID.pdf","KID")</f>
        <v>KID</v>
      </c>
    </row>
    <row r="248" spans="1:12" ht="45" x14ac:dyDescent="0.25">
      <c r="A248" s="9" t="s">
        <v>33</v>
      </c>
      <c r="B248" t="s">
        <v>34</v>
      </c>
      <c r="C248" s="7" t="s">
        <v>11</v>
      </c>
      <c r="D248" s="7" t="s">
        <v>62</v>
      </c>
      <c r="E248" s="7" t="s">
        <v>25</v>
      </c>
      <c r="F248" s="7" t="s">
        <v>13</v>
      </c>
      <c r="G248" s="7" t="s">
        <v>14</v>
      </c>
      <c r="H248" s="10" t="s">
        <v>26</v>
      </c>
      <c r="I248" s="11">
        <v>0</v>
      </c>
      <c r="J248" s="13">
        <v>1.235E-2</v>
      </c>
      <c r="K248" s="7" t="s">
        <v>439</v>
      </c>
      <c r="L248" s="12" t="str">
        <f>HYPERLINK("https://www.jtis.cz/download/5/2/9/1/LDYKID.pdf","KID")</f>
        <v>KID</v>
      </c>
    </row>
    <row r="249" spans="1:12" s="2" customFormat="1" ht="45" x14ac:dyDescent="0.25">
      <c r="A249" s="6" t="s">
        <v>35</v>
      </c>
      <c r="B249" s="2" t="s">
        <v>36</v>
      </c>
      <c r="C249" s="3" t="s">
        <v>11</v>
      </c>
      <c r="D249" s="3" t="s">
        <v>62</v>
      </c>
      <c r="E249" s="3" t="s">
        <v>21</v>
      </c>
      <c r="F249" s="3" t="s">
        <v>13</v>
      </c>
      <c r="G249" s="3" t="s">
        <v>14</v>
      </c>
      <c r="H249" s="4" t="s">
        <v>22</v>
      </c>
      <c r="I249" s="8">
        <v>0</v>
      </c>
      <c r="J249" s="14">
        <v>9.1000000000000004E-3</v>
      </c>
      <c r="K249" s="3" t="s">
        <v>439</v>
      </c>
      <c r="L249" s="5" t="str">
        <f>HYPERLINK("https://www.jtis.cz/download/5/2/9/5/LKOKID.pdf","KID")</f>
        <v>KID</v>
      </c>
    </row>
    <row r="250" spans="1:12" ht="45" x14ac:dyDescent="0.25">
      <c r="A250" s="9" t="s">
        <v>71</v>
      </c>
      <c r="B250" t="s">
        <v>37</v>
      </c>
      <c r="C250" s="7" t="s">
        <v>11</v>
      </c>
      <c r="D250" s="7" t="s">
        <v>62</v>
      </c>
      <c r="E250" s="7" t="s">
        <v>21</v>
      </c>
      <c r="F250" s="7" t="s">
        <v>13</v>
      </c>
      <c r="G250" s="7" t="s">
        <v>14</v>
      </c>
      <c r="H250" s="10" t="s">
        <v>15</v>
      </c>
      <c r="I250" s="11">
        <v>0</v>
      </c>
      <c r="J250" s="13">
        <v>9.1000000000000004E-3</v>
      </c>
      <c r="K250" s="7" t="s">
        <v>439</v>
      </c>
      <c r="L250" s="12" t="str">
        <f>HYPERLINK("https://www.jtis.cz/download/5/7/7/4/MOCKID.pdf","KID")</f>
        <v>KID</v>
      </c>
    </row>
    <row r="251" spans="1:12" s="2" customFormat="1" ht="45" x14ac:dyDescent="0.25">
      <c r="A251" s="6" t="s">
        <v>38</v>
      </c>
      <c r="B251" s="2" t="s">
        <v>39</v>
      </c>
      <c r="C251" s="3" t="s">
        <v>11</v>
      </c>
      <c r="D251" s="3" t="s">
        <v>62</v>
      </c>
      <c r="E251" s="3" t="s">
        <v>25</v>
      </c>
      <c r="F251" s="3" t="s">
        <v>13</v>
      </c>
      <c r="G251" s="3" t="s">
        <v>14</v>
      </c>
      <c r="H251" s="4" t="s">
        <v>26</v>
      </c>
      <c r="I251" s="8">
        <v>0</v>
      </c>
      <c r="J251" s="14">
        <v>6.5000000000000006E-3</v>
      </c>
      <c r="K251" s="3" t="s">
        <v>439</v>
      </c>
      <c r="L251" s="5" t="str">
        <f>HYPERLINK("https://www.jtis.cz/download/5/3/0/1/NGFKID.pdf","KID")</f>
        <v>KID</v>
      </c>
    </row>
    <row r="252" spans="1:12" ht="45" x14ac:dyDescent="0.25">
      <c r="A252" s="9" t="s">
        <v>40</v>
      </c>
      <c r="B252" t="s">
        <v>41</v>
      </c>
      <c r="C252" s="7" t="s">
        <v>11</v>
      </c>
      <c r="D252" s="7" t="s">
        <v>62</v>
      </c>
      <c r="E252" s="7" t="s">
        <v>25</v>
      </c>
      <c r="F252" s="7" t="s">
        <v>13</v>
      </c>
      <c r="G252" s="7" t="s">
        <v>14</v>
      </c>
      <c r="H252" s="10" t="s">
        <v>26</v>
      </c>
      <c r="I252" s="11">
        <v>0</v>
      </c>
      <c r="J252" s="13">
        <v>1.17E-2</v>
      </c>
      <c r="K252" s="7" t="s">
        <v>439</v>
      </c>
      <c r="L252" s="12" t="str">
        <f>HYPERLINK("https://www.jtis.cz/download/5/3/0/3/OCZKID.pdf","KID")</f>
        <v>KID</v>
      </c>
    </row>
    <row r="253" spans="1:12" s="2" customFormat="1" ht="45" x14ac:dyDescent="0.25">
      <c r="A253" s="6" t="s">
        <v>42</v>
      </c>
      <c r="B253" s="2" t="s">
        <v>43</v>
      </c>
      <c r="C253" s="3" t="s">
        <v>11</v>
      </c>
      <c r="D253" s="3" t="s">
        <v>62</v>
      </c>
      <c r="E253" s="3" t="s">
        <v>12</v>
      </c>
      <c r="F253" s="3" t="s">
        <v>13</v>
      </c>
      <c r="G253" s="3" t="s">
        <v>14</v>
      </c>
      <c r="H253" s="4" t="s">
        <v>22</v>
      </c>
      <c r="I253" s="8" t="s">
        <v>115</v>
      </c>
      <c r="J253" s="14">
        <v>1.17E-2</v>
      </c>
      <c r="K253" s="3" t="s">
        <v>439</v>
      </c>
      <c r="L253" s="5" t="str">
        <f>HYPERLINK("https://www.jtis.cz/download/5/3/0/5/PERKID.pdf","KID")</f>
        <v>KID</v>
      </c>
    </row>
    <row r="254" spans="1:12" ht="45" x14ac:dyDescent="0.25">
      <c r="A254" s="9" t="s">
        <v>44</v>
      </c>
      <c r="B254" t="s">
        <v>45</v>
      </c>
      <c r="C254" s="7" t="s">
        <v>11</v>
      </c>
      <c r="D254" s="7" t="s">
        <v>62</v>
      </c>
      <c r="E254" s="7" t="s">
        <v>12</v>
      </c>
      <c r="F254" s="7" t="s">
        <v>13</v>
      </c>
      <c r="G254" s="7" t="s">
        <v>14</v>
      </c>
      <c r="H254" s="10" t="s">
        <v>22</v>
      </c>
      <c r="I254" s="11">
        <v>0</v>
      </c>
      <c r="J254" s="13">
        <v>9.75E-3</v>
      </c>
      <c r="K254" s="7" t="s">
        <v>439</v>
      </c>
      <c r="L254" s="12" t="str">
        <f>HYPERLINK("https://www.jtis.cz/download/5/3/6/2/MREKID.pdf","KID")</f>
        <v>KID</v>
      </c>
    </row>
    <row r="255" spans="1:12" s="2" customFormat="1" ht="45" x14ac:dyDescent="0.25">
      <c r="A255" s="6" t="s">
        <v>46</v>
      </c>
      <c r="B255" s="2" t="s">
        <v>47</v>
      </c>
      <c r="C255" s="3" t="s">
        <v>11</v>
      </c>
      <c r="D255" s="3" t="s">
        <v>62</v>
      </c>
      <c r="E255" s="3" t="s">
        <v>12</v>
      </c>
      <c r="F255" s="3" t="s">
        <v>13</v>
      </c>
      <c r="G255" s="3" t="s">
        <v>14</v>
      </c>
      <c r="H255" s="4" t="s">
        <v>22</v>
      </c>
      <c r="I255" s="8">
        <v>0</v>
      </c>
      <c r="J255" s="14">
        <v>6.5000000000000006E-3</v>
      </c>
      <c r="K255" s="3" t="s">
        <v>439</v>
      </c>
      <c r="L255" s="5" t="str">
        <f>HYPERLINK("https://www.jtis.cz/download/5/3/5/9/MCOKID.pdf","KID")</f>
        <v>KID</v>
      </c>
    </row>
    <row r="256" spans="1:12" ht="45" x14ac:dyDescent="0.25">
      <c r="A256" s="9" t="s">
        <v>48</v>
      </c>
      <c r="B256" t="s">
        <v>49</v>
      </c>
      <c r="C256" s="7" t="s">
        <v>11</v>
      </c>
      <c r="D256" s="7" t="s">
        <v>62</v>
      </c>
      <c r="E256" s="7" t="s">
        <v>12</v>
      </c>
      <c r="F256" s="7" t="s">
        <v>13</v>
      </c>
      <c r="G256" s="7" t="s">
        <v>14</v>
      </c>
      <c r="H256" s="10" t="s">
        <v>22</v>
      </c>
      <c r="I256" s="11">
        <v>0</v>
      </c>
      <c r="J256" s="13">
        <v>4.875E-3</v>
      </c>
      <c r="K256" s="7" t="s">
        <v>439</v>
      </c>
      <c r="L256" s="12" t="str">
        <f>HYPERLINK("https://www.jtis.cz/download/5/3/5/9/MCOKID.pdf","KID")</f>
        <v>KID</v>
      </c>
    </row>
    <row r="257" spans="1:12" s="2" customFormat="1" ht="45" x14ac:dyDescent="0.25">
      <c r="A257" s="6" t="s">
        <v>50</v>
      </c>
      <c r="B257" s="2" t="s">
        <v>51</v>
      </c>
      <c r="C257" s="3" t="s">
        <v>11</v>
      </c>
      <c r="D257" s="3" t="s">
        <v>62</v>
      </c>
      <c r="E257" s="3" t="s">
        <v>12</v>
      </c>
      <c r="F257" s="3" t="s">
        <v>13</v>
      </c>
      <c r="G257" s="3" t="s">
        <v>14</v>
      </c>
      <c r="H257" s="4" t="s">
        <v>22</v>
      </c>
      <c r="I257" s="8">
        <v>0</v>
      </c>
      <c r="J257" s="14">
        <v>4.875E-3</v>
      </c>
      <c r="K257" s="3" t="s">
        <v>439</v>
      </c>
      <c r="L257" s="5" t="str">
        <f>HYPERLINK("https://www.jtis.cz/download/5/3/5/9/MCOKID.pdf","KID")</f>
        <v>KID</v>
      </c>
    </row>
    <row r="258" spans="1:12" ht="45" x14ac:dyDescent="0.25">
      <c r="A258" s="9" t="s">
        <v>52</v>
      </c>
      <c r="B258" t="s">
        <v>53</v>
      </c>
      <c r="C258" s="7" t="s">
        <v>11</v>
      </c>
      <c r="D258" s="7" t="s">
        <v>62</v>
      </c>
      <c r="E258" s="7" t="s">
        <v>25</v>
      </c>
      <c r="F258" s="7" t="s">
        <v>13</v>
      </c>
      <c r="G258" s="7" t="s">
        <v>14</v>
      </c>
      <c r="H258" s="10" t="s">
        <v>26</v>
      </c>
      <c r="I258" s="11">
        <v>0</v>
      </c>
      <c r="J258" s="13">
        <v>9.75E-3</v>
      </c>
      <c r="K258" s="7" t="s">
        <v>439</v>
      </c>
      <c r="L258" s="12" t="str">
        <f>HYPERLINK("https://www.jtis.cz/download/5/3/7/4/MDIKID.pdf","KID")</f>
        <v>KID</v>
      </c>
    </row>
    <row r="259" spans="1:12" s="2" customFormat="1" ht="45" x14ac:dyDescent="0.25">
      <c r="A259" s="6" t="s">
        <v>54</v>
      </c>
      <c r="B259" s="2" t="s">
        <v>55</v>
      </c>
      <c r="C259" s="3" t="s">
        <v>11</v>
      </c>
      <c r="D259" s="3" t="s">
        <v>62</v>
      </c>
      <c r="E259" s="3" t="s">
        <v>25</v>
      </c>
      <c r="F259" s="3" t="s">
        <v>13</v>
      </c>
      <c r="G259" s="3" t="s">
        <v>14</v>
      </c>
      <c r="H259" s="4" t="s">
        <v>26</v>
      </c>
      <c r="I259" s="8">
        <v>0</v>
      </c>
      <c r="J259" s="14">
        <v>9.75E-3</v>
      </c>
      <c r="K259" s="3" t="s">
        <v>439</v>
      </c>
      <c r="L259" s="5" t="str">
        <f>HYPERLINK("https://www.jtis.cz/download/5/3/7/4/MDIKID.pdf","KID")</f>
        <v>KID</v>
      </c>
    </row>
    <row r="260" spans="1:12" ht="45" x14ac:dyDescent="0.25">
      <c r="A260" s="9" t="s">
        <v>56</v>
      </c>
      <c r="B260" t="s">
        <v>57</v>
      </c>
      <c r="C260" s="7" t="s">
        <v>11</v>
      </c>
      <c r="D260" s="7" t="s">
        <v>62</v>
      </c>
      <c r="E260" s="7" t="s">
        <v>12</v>
      </c>
      <c r="F260" s="7" t="s">
        <v>13</v>
      </c>
      <c r="G260" s="7" t="s">
        <v>14</v>
      </c>
      <c r="H260" s="10" t="s">
        <v>22</v>
      </c>
      <c r="I260" s="11">
        <v>0</v>
      </c>
      <c r="J260" s="13">
        <v>9.75E-3</v>
      </c>
      <c r="K260" s="7" t="s">
        <v>439</v>
      </c>
      <c r="L260" s="12" t="str">
        <f>HYPERLINK("https://www.jtis.cz/download/5/3/6/2/MREKID.pdf","KID")</f>
        <v>KID</v>
      </c>
    </row>
    <row r="261" spans="1:12" s="2" customFormat="1" ht="45" x14ac:dyDescent="0.25">
      <c r="A261" s="6" t="s">
        <v>58</v>
      </c>
      <c r="B261" s="2" t="s">
        <v>59</v>
      </c>
      <c r="C261" s="3" t="s">
        <v>11</v>
      </c>
      <c r="D261" s="3" t="s">
        <v>62</v>
      </c>
      <c r="E261" s="3" t="s">
        <v>12</v>
      </c>
      <c r="F261" s="3" t="s">
        <v>13</v>
      </c>
      <c r="G261" s="3" t="s">
        <v>14</v>
      </c>
      <c r="H261" s="4" t="s">
        <v>22</v>
      </c>
      <c r="I261" s="8">
        <v>0</v>
      </c>
      <c r="J261" s="14">
        <v>9.75E-3</v>
      </c>
      <c r="K261" s="3" t="s">
        <v>439</v>
      </c>
      <c r="L261" s="5" t="str">
        <f>HYPERLINK("https://www.jtis.cz/download/5/3/6/2/MREKID.pdf","KID")</f>
        <v>KID</v>
      </c>
    </row>
    <row r="262" spans="1:12" ht="45" x14ac:dyDescent="0.25">
      <c r="A262" s="9" t="s">
        <v>90</v>
      </c>
      <c r="B262" t="s">
        <v>66</v>
      </c>
      <c r="C262" s="7" t="s">
        <v>11</v>
      </c>
      <c r="D262" s="7" t="s">
        <v>62</v>
      </c>
      <c r="E262" s="7" t="s">
        <v>25</v>
      </c>
      <c r="F262" s="7" t="s">
        <v>13</v>
      </c>
      <c r="G262" s="7" t="s">
        <v>14</v>
      </c>
      <c r="H262" s="10" t="s">
        <v>26</v>
      </c>
      <c r="I262" s="11">
        <v>0</v>
      </c>
      <c r="J262" s="13" t="s">
        <v>68</v>
      </c>
      <c r="K262" s="7" t="s">
        <v>439</v>
      </c>
      <c r="L262" s="12" t="str">
        <f>HYPERLINK("https://www.jtis.cz/download/7/5/6/3/EGFKID.pdf","KID")</f>
        <v>KID</v>
      </c>
    </row>
    <row r="263" spans="1:12" s="2" customFormat="1" ht="45" x14ac:dyDescent="0.25">
      <c r="A263" s="6" t="s">
        <v>87</v>
      </c>
      <c r="B263" s="2" t="s">
        <v>88</v>
      </c>
      <c r="C263" s="3" t="s">
        <v>11</v>
      </c>
      <c r="D263" s="3" t="s">
        <v>62</v>
      </c>
      <c r="E263" s="3" t="s">
        <v>25</v>
      </c>
      <c r="F263" s="3" t="s">
        <v>13</v>
      </c>
      <c r="G263" s="3" t="s">
        <v>14</v>
      </c>
      <c r="H263" s="4" t="s">
        <v>26</v>
      </c>
      <c r="I263" s="8">
        <v>0</v>
      </c>
      <c r="J263" s="14">
        <v>7.7999999999999996E-3</v>
      </c>
      <c r="K263" s="3" t="s">
        <v>439</v>
      </c>
      <c r="L263" s="5" t="str">
        <f>HYPERLINK("https://www.jtis.cz/download/1/3/1/2/3/EGFEAKID.pdf","KID")</f>
        <v>KID</v>
      </c>
    </row>
    <row r="264" spans="1:12" ht="45" x14ac:dyDescent="0.25">
      <c r="A264" s="9" t="s">
        <v>63</v>
      </c>
      <c r="B264" t="s">
        <v>64</v>
      </c>
      <c r="C264" s="7" t="s">
        <v>11</v>
      </c>
      <c r="D264" s="7" t="s">
        <v>62</v>
      </c>
      <c r="E264" s="7" t="s">
        <v>25</v>
      </c>
      <c r="F264" s="7" t="s">
        <v>13</v>
      </c>
      <c r="G264" s="7" t="s">
        <v>14</v>
      </c>
      <c r="H264" s="10" t="s">
        <v>67</v>
      </c>
      <c r="I264" s="11">
        <v>0</v>
      </c>
      <c r="J264" s="13" t="s">
        <v>68</v>
      </c>
      <c r="K264" s="7" t="s">
        <v>439</v>
      </c>
      <c r="L264" s="12" t="str">
        <f>HYPERLINK("https://www.jtis.cz/download/8/8/6/2/GIFKID.pdf","KID")</f>
        <v>KID</v>
      </c>
    </row>
    <row r="265" spans="1:12" s="2" customFormat="1" ht="45" x14ac:dyDescent="0.25">
      <c r="A265" s="6" t="s">
        <v>89</v>
      </c>
      <c r="B265" s="2" t="s">
        <v>65</v>
      </c>
      <c r="C265" s="3" t="s">
        <v>11</v>
      </c>
      <c r="D265" s="3" t="s">
        <v>62</v>
      </c>
      <c r="E265" s="3" t="s">
        <v>25</v>
      </c>
      <c r="F265" s="3" t="s">
        <v>13</v>
      </c>
      <c r="G265" s="3" t="s">
        <v>14</v>
      </c>
      <c r="H265" s="4" t="s">
        <v>67</v>
      </c>
      <c r="I265" s="8">
        <v>0</v>
      </c>
      <c r="J265" s="14" t="s">
        <v>68</v>
      </c>
      <c r="K265" s="3" t="s">
        <v>439</v>
      </c>
      <c r="L265" s="5" t="str">
        <f>HYPERLINK("https://www.jtis.cz/download/1/1/3/9/6/WDFKID.pdf","KID")</f>
        <v>KID</v>
      </c>
    </row>
    <row r="266" spans="1:12" ht="45" x14ac:dyDescent="0.25">
      <c r="A266" s="9" t="s">
        <v>91</v>
      </c>
      <c r="B266" t="s">
        <v>86</v>
      </c>
      <c r="C266" s="7" t="s">
        <v>11</v>
      </c>
      <c r="D266" s="7" t="s">
        <v>62</v>
      </c>
      <c r="E266" s="7" t="s">
        <v>25</v>
      </c>
      <c r="F266" s="7" t="s">
        <v>13</v>
      </c>
      <c r="G266" s="7" t="s">
        <v>14</v>
      </c>
      <c r="H266" s="10" t="s">
        <v>67</v>
      </c>
      <c r="I266" s="11">
        <v>0</v>
      </c>
      <c r="J266" s="13">
        <v>9.1000000000000004E-3</v>
      </c>
      <c r="K266" s="7" t="s">
        <v>439</v>
      </c>
      <c r="L266" s="12" t="str">
        <f>HYPERLINK("https://www.jtis.cz/download/1/2/9/1/9/KID-WDFEA-2026-02-16.pdf","KID")</f>
        <v>KID</v>
      </c>
    </row>
    <row r="267" spans="1:12" s="2" customFormat="1" ht="45" x14ac:dyDescent="0.25">
      <c r="A267" s="6" t="s">
        <v>72</v>
      </c>
      <c r="B267" s="2" t="s">
        <v>73</v>
      </c>
      <c r="C267" s="3" t="s">
        <v>74</v>
      </c>
      <c r="D267" s="3" t="s">
        <v>75</v>
      </c>
      <c r="E267" s="3" t="s">
        <v>25</v>
      </c>
      <c r="F267" s="3" t="s">
        <v>76</v>
      </c>
      <c r="G267" s="3" t="s">
        <v>14</v>
      </c>
      <c r="H267" s="4" t="s">
        <v>26</v>
      </c>
      <c r="I267" s="8" t="s">
        <v>116</v>
      </c>
      <c r="J267" s="14">
        <v>9.75E-3</v>
      </c>
      <c r="K267" s="3" t="s">
        <v>439</v>
      </c>
      <c r="L267" s="5" t="str">
        <f>HYPERLINK("https://www.jtis.cz/download/1/2/8/1/5/HGFEAKID.pdf","KID")</f>
        <v>KID</v>
      </c>
    </row>
    <row r="268" spans="1:12" ht="45" x14ac:dyDescent="0.25">
      <c r="A268" s="9" t="s">
        <v>77</v>
      </c>
      <c r="B268" t="s">
        <v>78</v>
      </c>
      <c r="C268" s="7" t="s">
        <v>74</v>
      </c>
      <c r="D268" s="7" t="s">
        <v>75</v>
      </c>
      <c r="E268" s="7" t="s">
        <v>25</v>
      </c>
      <c r="F268" s="7" t="s">
        <v>76</v>
      </c>
      <c r="G268" s="7" t="s">
        <v>14</v>
      </c>
      <c r="H268" s="10" t="s">
        <v>26</v>
      </c>
      <c r="I268" s="11" t="s">
        <v>116</v>
      </c>
      <c r="J268" s="13">
        <v>9.75E-3</v>
      </c>
      <c r="K268" s="7" t="s">
        <v>439</v>
      </c>
      <c r="L268" s="12" t="str">
        <f>HYPERLINK("https://www.jtis.cz/download/1/2/7/4/0/HGFCRKID.pdf","KID")</f>
        <v>KID</v>
      </c>
    </row>
    <row r="269" spans="1:12" s="2" customFormat="1" ht="45" x14ac:dyDescent="0.25">
      <c r="A269" s="6" t="s">
        <v>79</v>
      </c>
      <c r="B269" s="2" t="s">
        <v>80</v>
      </c>
      <c r="C269" s="3" t="s">
        <v>74</v>
      </c>
      <c r="D269" s="3" t="s">
        <v>75</v>
      </c>
      <c r="E269" s="3" t="s">
        <v>17</v>
      </c>
      <c r="F269" s="3" t="s">
        <v>76</v>
      </c>
      <c r="G269" s="3" t="s">
        <v>14</v>
      </c>
      <c r="H269" s="4" t="s">
        <v>22</v>
      </c>
      <c r="I269" s="8">
        <v>0</v>
      </c>
      <c r="J269" s="14">
        <v>6.4999999999999997E-3</v>
      </c>
      <c r="K269" s="3" t="s">
        <v>439</v>
      </c>
      <c r="L269" s="5" t="str">
        <f>HYPERLINK("https://www.jtis.cz/download/5/2/8/7/HCZKID.pdf","KID")</f>
        <v>KID</v>
      </c>
    </row>
    <row r="270" spans="1:12" ht="45" x14ac:dyDescent="0.25">
      <c r="A270" s="9" t="s">
        <v>81</v>
      </c>
      <c r="B270" t="s">
        <v>82</v>
      </c>
      <c r="C270" s="7" t="s">
        <v>74</v>
      </c>
      <c r="D270" s="7" t="s">
        <v>75</v>
      </c>
      <c r="E270" s="7" t="s">
        <v>83</v>
      </c>
      <c r="F270" s="7" t="s">
        <v>76</v>
      </c>
      <c r="G270" s="7" t="s">
        <v>14</v>
      </c>
      <c r="H270" s="10" t="s">
        <v>67</v>
      </c>
      <c r="I270" s="11" t="s">
        <v>117</v>
      </c>
      <c r="J270" s="13">
        <v>8.1300000000000001E-3</v>
      </c>
      <c r="K270" s="7" t="s">
        <v>439</v>
      </c>
      <c r="L270" s="12" t="str">
        <f>HYPERLINK("https://www.jtis.cz/download/1/2/3/8/9/GPFKID.pdf","KID")</f>
        <v>KID</v>
      </c>
    </row>
    <row r="271" spans="1:12" s="2" customFormat="1" ht="45" x14ac:dyDescent="0.25">
      <c r="A271" s="6" t="s">
        <v>84</v>
      </c>
      <c r="B271" s="2" t="s">
        <v>85</v>
      </c>
      <c r="C271" s="3" t="s">
        <v>74</v>
      </c>
      <c r="D271" s="3" t="s">
        <v>75</v>
      </c>
      <c r="E271" s="3" t="s">
        <v>83</v>
      </c>
      <c r="F271" s="3" t="s">
        <v>76</v>
      </c>
      <c r="G271" s="3" t="s">
        <v>14</v>
      </c>
      <c r="H271" s="4" t="s">
        <v>26</v>
      </c>
      <c r="I271" s="8" t="s">
        <v>118</v>
      </c>
      <c r="J271" s="14">
        <v>6.4999999999999997E-3</v>
      </c>
      <c r="K271" s="3" t="s">
        <v>439</v>
      </c>
      <c r="L271" s="5" t="str">
        <f>HYPERLINK("https://www.jtis.cz/download/5/8/6/0/NOCKID.pdf","KID")</f>
        <v>KID</v>
      </c>
    </row>
    <row r="272" spans="1:12" ht="45" x14ac:dyDescent="0.25">
      <c r="A272" s="9" t="s">
        <v>119</v>
      </c>
      <c r="B272" t="s">
        <v>121</v>
      </c>
      <c r="C272" s="7" t="s">
        <v>74</v>
      </c>
      <c r="D272" s="7" t="s">
        <v>75</v>
      </c>
      <c r="E272" s="7" t="s">
        <v>25</v>
      </c>
      <c r="F272" s="7" t="s">
        <v>76</v>
      </c>
      <c r="G272" s="7" t="s">
        <v>14</v>
      </c>
      <c r="H272" s="10" t="s">
        <v>67</v>
      </c>
      <c r="I272" s="11" t="s">
        <v>123</v>
      </c>
      <c r="J272" s="13">
        <v>7.1999999999999998E-3</v>
      </c>
      <c r="K272" s="7" t="s">
        <v>439</v>
      </c>
      <c r="L272" s="12" t="str">
        <f>HYPERLINK("https://www.jtis.cz/download/1/3/2/9/2/A2PCAKID.pdf","KID")</f>
        <v>KID</v>
      </c>
    </row>
    <row r="273" spans="1:12" s="2" customFormat="1" ht="45" x14ac:dyDescent="0.25">
      <c r="A273" s="6" t="s">
        <v>120</v>
      </c>
      <c r="B273" s="2" t="s">
        <v>122</v>
      </c>
      <c r="C273" s="3" t="s">
        <v>74</v>
      </c>
      <c r="D273" s="3" t="s">
        <v>75</v>
      </c>
      <c r="E273" s="3" t="s">
        <v>25</v>
      </c>
      <c r="F273" s="3" t="s">
        <v>76</v>
      </c>
      <c r="G273" s="3" t="s">
        <v>14</v>
      </c>
      <c r="H273" s="4" t="s">
        <v>67</v>
      </c>
      <c r="I273" s="8" t="s">
        <v>123</v>
      </c>
      <c r="J273" s="14">
        <v>7.1999999999999998E-3</v>
      </c>
      <c r="K273" s="3" t="s">
        <v>439</v>
      </c>
      <c r="L273" s="5" t="str">
        <f>HYPERLINK("https://www.jtis.cz/download/1/3/2/9/3/A2PEAKID.pdf","KID")</f>
        <v>KID</v>
      </c>
    </row>
    <row r="274" spans="1:12" ht="45" x14ac:dyDescent="0.25">
      <c r="A274" s="9" t="s">
        <v>657</v>
      </c>
      <c r="B274" t="s">
        <v>437</v>
      </c>
      <c r="C274" s="7" t="s">
        <v>11</v>
      </c>
      <c r="D274" s="7" t="s">
        <v>62</v>
      </c>
      <c r="E274" s="7" t="s">
        <v>25</v>
      </c>
      <c r="F274" s="7" t="s">
        <v>13</v>
      </c>
      <c r="G274" s="7" t="s">
        <v>14</v>
      </c>
      <c r="H274" s="10" t="s">
        <v>67</v>
      </c>
      <c r="I274" s="11" t="s">
        <v>438</v>
      </c>
      <c r="J274" s="13">
        <v>1.9499999999999999E-3</v>
      </c>
      <c r="K274" s="7" t="s">
        <v>439</v>
      </c>
      <c r="L274" s="12" t="str">
        <f>HYPERLINK("https://www.jtis.cz/download/1/3/4/8/8/KID-INP-EUR-CZ-HD.pdf","KID")</f>
        <v>KID</v>
      </c>
    </row>
    <row r="275" spans="1:12" s="2" customFormat="1" ht="45" x14ac:dyDescent="0.25">
      <c r="A275" s="6" t="s">
        <v>658</v>
      </c>
      <c r="B275" s="2" t="s">
        <v>440</v>
      </c>
      <c r="C275" s="3" t="s">
        <v>11</v>
      </c>
      <c r="D275" s="3" t="s">
        <v>62</v>
      </c>
      <c r="E275" s="3" t="s">
        <v>25</v>
      </c>
      <c r="F275" s="3" t="s">
        <v>13</v>
      </c>
      <c r="G275" s="3" t="s">
        <v>14</v>
      </c>
      <c r="H275" s="4" t="s">
        <v>67</v>
      </c>
      <c r="I275" s="8" t="s">
        <v>438</v>
      </c>
      <c r="J275" s="14">
        <v>1.9499999999999999E-3</v>
      </c>
      <c r="K275" s="3" t="s">
        <v>439</v>
      </c>
      <c r="L275" s="5" t="str">
        <f>HYPERLINK("https://www.jtis.cz/download/1/3/4/8/7/KID-INP-EUR-CZ-H.pdf","KID")</f>
        <v>KID</v>
      </c>
    </row>
    <row r="276" spans="1:12" ht="45" x14ac:dyDescent="0.25">
      <c r="A276" s="9" t="s">
        <v>659</v>
      </c>
      <c r="B276" t="s">
        <v>441</v>
      </c>
      <c r="C276" s="7" t="s">
        <v>11</v>
      </c>
      <c r="D276" s="7" t="s">
        <v>62</v>
      </c>
      <c r="E276" s="7" t="s">
        <v>25</v>
      </c>
      <c r="F276" s="7" t="s">
        <v>13</v>
      </c>
      <c r="G276" s="7" t="s">
        <v>14</v>
      </c>
      <c r="H276" s="10" t="s">
        <v>67</v>
      </c>
      <c r="I276" s="11" t="s">
        <v>438</v>
      </c>
      <c r="J276" s="13">
        <v>1.9499999999999999E-3</v>
      </c>
      <c r="K276" s="7" t="s">
        <v>439</v>
      </c>
      <c r="L276" s="12" t="str">
        <f>HYPERLINK("https://www.jtis.cz/download/1/3/4/8/6/KID-INP-CZK-CZ-HD.pdf","KID")</f>
        <v>KID</v>
      </c>
    </row>
    <row r="277" spans="1:12" s="2" customFormat="1" ht="45" x14ac:dyDescent="0.25">
      <c r="A277" s="6" t="s">
        <v>660</v>
      </c>
      <c r="B277" s="2" t="s">
        <v>442</v>
      </c>
      <c r="C277" s="3" t="s">
        <v>11</v>
      </c>
      <c r="D277" s="3" t="s">
        <v>62</v>
      </c>
      <c r="E277" s="3" t="s">
        <v>25</v>
      </c>
      <c r="F277" s="3" t="s">
        <v>13</v>
      </c>
      <c r="G277" s="3" t="s">
        <v>14</v>
      </c>
      <c r="H277" s="4" t="s">
        <v>67</v>
      </c>
      <c r="I277" s="8" t="s">
        <v>438</v>
      </c>
      <c r="J277" s="14">
        <v>1.9499999999999999E-3</v>
      </c>
      <c r="K277" s="3" t="s">
        <v>439</v>
      </c>
      <c r="L277" s="5" t="str">
        <f>HYPERLINK("https://www.jtis.cz/download/1/3/4/8/5/KID-INP-CZK-CZ-H.pdf","KID")</f>
        <v>KID</v>
      </c>
    </row>
  </sheetData>
  <autoFilter ref="A1:L173" xr:uid="{00000000-0001-0000-0000-000000000000}"/>
  <sortState xmlns:xlrd2="http://schemas.microsoft.com/office/spreadsheetml/2017/richdata2" ref="A2:L277">
    <sortCondition ref="K2:K27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fondů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Horváth Marek</dc:creator>
  <cp:keywords/>
  <dc:description/>
  <cp:lastModifiedBy>Zelinger Michal</cp:lastModifiedBy>
  <cp:revision/>
  <dcterms:created xsi:type="dcterms:W3CDTF">2015-06-05T18:19:34Z</dcterms:created>
  <dcterms:modified xsi:type="dcterms:W3CDTF">2026-10-20T12:52:19Z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be4895-82d9-4e4b-86fd-fd85c612981f_Enabled">
    <vt:lpwstr>true</vt:lpwstr>
  </property>
  <property fmtid="{D5CDD505-2E9C-101B-9397-08002B2CF9AE}" pid="3" name="MSIP_Label_6bbe4895-82d9-4e4b-86fd-fd85c612981f_SetDate">
    <vt:lpwstr>2025-07-01T14:12:55Z</vt:lpwstr>
  </property>
  <property fmtid="{D5CDD505-2E9C-101B-9397-08002B2CF9AE}" pid="4" name="MSIP_Label_6bbe4895-82d9-4e4b-86fd-fd85c612981f_Method">
    <vt:lpwstr>Privileged</vt:lpwstr>
  </property>
  <property fmtid="{D5CDD505-2E9C-101B-9397-08002B2CF9AE}" pid="5" name="MSIP_Label_6bbe4895-82d9-4e4b-86fd-fd85c612981f_Name">
    <vt:lpwstr>Kritické</vt:lpwstr>
  </property>
  <property fmtid="{D5CDD505-2E9C-101B-9397-08002B2CF9AE}" pid="6" name="MSIP_Label_6bbe4895-82d9-4e4b-86fd-fd85c612981f_SiteId">
    <vt:lpwstr>9cca307d-eed7-47e0-a567-a3b37ba0308b</vt:lpwstr>
  </property>
  <property fmtid="{D5CDD505-2E9C-101B-9397-08002B2CF9AE}" pid="7" name="MSIP_Label_6bbe4895-82d9-4e4b-86fd-fd85c612981f_ActionId">
    <vt:lpwstr>a6384010-3e96-4f91-beab-a815768ff0ab</vt:lpwstr>
  </property>
  <property fmtid="{D5CDD505-2E9C-101B-9397-08002B2CF9AE}" pid="8" name="MSIP_Label_6bbe4895-82d9-4e4b-86fd-fd85c612981f_ContentBits">
    <vt:lpwstr>0</vt:lpwstr>
  </property>
</Properties>
</file>