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AML\AFT Compliance\SMLUVNÍ VZORY KLIENTSKÉ\PŘEDSMLUVKA\Michal_rozpracovane\8_Budoucnost3\"/>
    </mc:Choice>
  </mc:AlternateContent>
  <xr:revisionPtr revIDLastSave="0" documentId="13_ncr:1_{E3AC2630-51DE-4F31-9AC9-214130AFDF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řehled fondů" sheetId="1" r:id="rId1"/>
  </sheets>
  <definedNames>
    <definedName name="_xlnm._FilterDatabase" localSheetId="0" hidden="1">'Přehled fondů'!$A$1:$L$32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5" i="1" l="1"/>
  <c r="L122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1" i="1"/>
  <c r="L120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75" i="1" l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5" i="1"/>
  <c r="L96" i="1"/>
  <c r="L98" i="1"/>
  <c r="L99" i="1"/>
  <c r="L94" i="1"/>
  <c r="L97" i="1"/>
  <c r="L74" i="1" l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 l="1"/>
  <c r="L53" i="1"/>
  <c r="L52" i="1"/>
  <c r="L51" i="1"/>
  <c r="L50" i="1"/>
  <c r="L49" i="1"/>
  <c r="L48" i="1"/>
  <c r="L47" i="1"/>
  <c r="L46" i="1"/>
  <c r="L45" i="1"/>
  <c r="L34" i="1"/>
  <c r="L33" i="1"/>
  <c r="L37" i="1"/>
  <c r="L38" i="1"/>
  <c r="L42" i="1"/>
  <c r="L39" i="1" l="1"/>
  <c r="L41" i="1"/>
  <c r="L43" i="1"/>
  <c r="L44" i="1"/>
  <c r="L40" i="1"/>
  <c r="L36" i="1"/>
  <c r="L35" i="1"/>
  <c r="L24" i="1"/>
  <c r="L27" i="1" l="1"/>
  <c r="L32" i="1"/>
  <c r="L31" i="1"/>
  <c r="L30" i="1"/>
  <c r="L29" i="1"/>
  <c r="L28" i="1"/>
  <c r="L25" i="1" l="1"/>
  <c r="L23" i="1"/>
  <c r="L26" i="1"/>
  <c r="L18" i="1"/>
  <c r="L17" i="1"/>
  <c r="L19" i="1"/>
  <c r="L20" i="1"/>
  <c r="L21" i="1"/>
  <c r="L22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<sst xmlns="http://schemas.openxmlformats.org/spreadsheetml/2006/main" count="1381" uniqueCount="349">
  <si>
    <t>NÁZEV</t>
  </si>
  <si>
    <t>ISIN</t>
  </si>
  <si>
    <t>KATEGORIE ZÁKAZNÍKA</t>
  </si>
  <si>
    <t>ZNALOSTI A ZKUŠENOSTI</t>
  </si>
  <si>
    <t>MIN. INVESTIČNÍ HORIZONT</t>
  </si>
  <si>
    <t>INVESTIČNÍ CÍL</t>
  </si>
  <si>
    <t>SCHOPNOST NÉST ZTRÁTY</t>
  </si>
  <si>
    <t>TOLERANCE RIZIKA (SRI)</t>
  </si>
  <si>
    <t>SPRÁVCE FONDU</t>
  </si>
  <si>
    <t>KID – sdělení klíčových informací podle nařízení PRIIPs („key information document“)</t>
  </si>
  <si>
    <t>CZ0008473634</t>
  </si>
  <si>
    <t>Neprofesionální / Profesionální / Způsobilá protistrana</t>
  </si>
  <si>
    <t>3 roky</t>
  </si>
  <si>
    <t>Kombinace růstu a ochrany</t>
  </si>
  <si>
    <t>ANO</t>
  </si>
  <si>
    <t>2/7</t>
  </si>
  <si>
    <t xml:space="preserve">	J&amp;T INVESTIČNÍ SPOLEČNOST, a.s.</t>
  </si>
  <si>
    <t>CZ0008478625</t>
  </si>
  <si>
    <t>1 rok</t>
  </si>
  <si>
    <t>1/7</t>
  </si>
  <si>
    <t>J&amp;T FLEXIBILNÍ OPF</t>
  </si>
  <si>
    <t>CZ0008472867</t>
  </si>
  <si>
    <t>2 roky</t>
  </si>
  <si>
    <t>3/7</t>
  </si>
  <si>
    <t>J&amp;T Realitních akcií a dluhopisů OPF</t>
  </si>
  <si>
    <t>CZ0008477866</t>
  </si>
  <si>
    <t>5 let</t>
  </si>
  <si>
    <t>4/7</t>
  </si>
  <si>
    <t>J&amp;T Credit Opportunities B CZK</t>
  </si>
  <si>
    <t>MT7000006987</t>
  </si>
  <si>
    <t>J&amp;T DIVIDEND Fund A1 CZK</t>
  </si>
  <si>
    <t>MT7000024899</t>
  </si>
  <si>
    <t>J&amp;T LIFE Balancovaný OPF</t>
  </si>
  <si>
    <t>CZ0008477601</t>
  </si>
  <si>
    <t>J&amp;T LIFE Dynamický OPF</t>
  </si>
  <si>
    <t>CZ0008477593</t>
  </si>
  <si>
    <t>J&amp;T LIFE Konzervativní OPF</t>
  </si>
  <si>
    <t>CZ0008477585</t>
  </si>
  <si>
    <t>CZ0008473808</t>
  </si>
  <si>
    <t>J&amp;T NextGen OPF</t>
  </si>
  <si>
    <t>CZ0008478187</t>
  </si>
  <si>
    <t>J&amp;T OPPORTUNITY OPF</t>
  </si>
  <si>
    <t>CZ0008473576</t>
  </si>
  <si>
    <t>J&amp;T PERSPEKTIVA OPF</t>
  </si>
  <si>
    <t>CZ0008473592</t>
  </si>
  <si>
    <t>J&amp;T RENTIER Fund A1 CZK</t>
  </si>
  <si>
    <t>MT7000024857</t>
  </si>
  <si>
    <t>J&amp;T Credit Opportunities A EUR</t>
  </si>
  <si>
    <t>MT7000006979</t>
  </si>
  <si>
    <t>J&amp;T Credit Opportunities D CZK</t>
  </si>
  <si>
    <t>MT7000034013</t>
  </si>
  <si>
    <t>J&amp;T Credit Opportunities I CZK</t>
  </si>
  <si>
    <t>MT7000034021</t>
  </si>
  <si>
    <t>J&amp;T DIVIDEND Fund A2 EUR</t>
  </si>
  <si>
    <t>MT7000024907</t>
  </si>
  <si>
    <t>J&amp;T DIVIDEND Fund D1 CZK</t>
  </si>
  <si>
    <t>MT7000024915</t>
  </si>
  <si>
    <t>J&amp;T RENTIER Fund A2 EUR</t>
  </si>
  <si>
    <t>MT7000024865</t>
  </si>
  <si>
    <t>J&amp;T RENTIER Fund D1 CZK</t>
  </si>
  <si>
    <t>MT7000024873</t>
  </si>
  <si>
    <t>VÝSTUPNÍ POPLATEK</t>
  </si>
  <si>
    <t>Maximální pobídka pro ATLANTIK FT z objemu investované částky</t>
  </si>
  <si>
    <t>Základní/Informovaný /Pokročilý investor</t>
  </si>
  <si>
    <t>J&amp;T GLOBAL INDEX A CZK</t>
  </si>
  <si>
    <t>CZ1005100386</t>
  </si>
  <si>
    <t>CZ1005100543</t>
  </si>
  <si>
    <t>CZ1005100451</t>
  </si>
  <si>
    <t>5/7</t>
  </si>
  <si>
    <t>1.17%</t>
  </si>
  <si>
    <t>J&amp;T BOND A CZK OPF</t>
  </si>
  <si>
    <t>J&amp;T CASH OPF</t>
  </si>
  <si>
    <t>J&amp;T MONEY A CZK OPF</t>
  </si>
  <si>
    <t>J&amp;T Hedge Funds EUR OPF třída A</t>
  </si>
  <si>
    <t>CZ1005300010</t>
  </si>
  <si>
    <t>Neprofesionální/Profesionální / Způsobilá protistrana</t>
  </si>
  <si>
    <t>Informovaný/Pokročilý investor</t>
  </si>
  <si>
    <t>Růst</t>
  </si>
  <si>
    <t>J&amp;T Hedge Funds CZK OPF třída A</t>
  </si>
  <si>
    <t>CZ1005100162</t>
  </si>
  <si>
    <t>J&amp;T High Yield CZK OPF</t>
  </si>
  <si>
    <t>CZ0008473600</t>
  </si>
  <si>
    <t>J&amp;T Wold Private Capital OPF</t>
  </si>
  <si>
    <t>CZ1005100410</t>
  </si>
  <si>
    <t>7 let</t>
  </si>
  <si>
    <t>Naše ČESKO OPF</t>
  </si>
  <si>
    <t>CZ0008477684</t>
  </si>
  <si>
    <t>CZ1005100733</t>
  </si>
  <si>
    <t>J&amp;T ENERGY A EUR OPF</t>
  </si>
  <si>
    <t>CZ1005100808</t>
  </si>
  <si>
    <t>J&amp;T WOOD Defense A CZK OPF</t>
  </si>
  <si>
    <t>J&amp;T ENERGY A CZK OPF</t>
  </si>
  <si>
    <t>J&amp;T WOOD Defense A EUR OPF</t>
  </si>
  <si>
    <t>AMUNDI FUNDS US PIONEER FUND - A CZK Hgd</t>
  </si>
  <si>
    <t>LU1883872258</t>
  </si>
  <si>
    <t>Amundi Luxembourg S.A</t>
  </si>
  <si>
    <t xml:space="preserve">AMUNDI FUNDS PIONEER GLOBAL EQUITY - A CZK Hgd </t>
  </si>
  <si>
    <t>LU1894680591</t>
  </si>
  <si>
    <t>6/7</t>
  </si>
  <si>
    <t>FF - World Fund A-ACC-CZK (hedged)</t>
  </si>
  <si>
    <t>LU1400167216</t>
  </si>
  <si>
    <t>FIL Investment Management (Luxembourg) S.A.</t>
  </si>
  <si>
    <t xml:space="preserve">FF - Global Dividend Fund Svetovych dividend A-ACC-CZK (hdg) </t>
  </si>
  <si>
    <t>LU0979392924</t>
  </si>
  <si>
    <t>Goldman Sachs Global Sustainable Equity - X Cap CZK (hedged i)</t>
  </si>
  <si>
    <t>LU1542713687</t>
  </si>
  <si>
    <t>Goldman Sachs Asset Management B.V.</t>
  </si>
  <si>
    <t xml:space="preserve">FTIF-Franklin Innovation Fund-A (acc) CZK-H1 </t>
  </si>
  <si>
    <t>LU2125249990</t>
  </si>
  <si>
    <t>Franklin Templeton International Services S.à r.l.</t>
  </si>
  <si>
    <t>Goldman Sachs US Enhanced Equity - X Cap CZK (hedged i)</t>
  </si>
  <si>
    <t>LU0405488825</t>
  </si>
  <si>
    <t xml:space="preserve">FF - World Fund A-ACC-CZK </t>
  </si>
  <si>
    <t>LU1756523376</t>
  </si>
  <si>
    <t>Goldman Sachs Central European Equity-P Cap CZK</t>
  </si>
  <si>
    <t>LU0082087353</t>
  </si>
  <si>
    <t xml:space="preserve">FF - Global Technology Fund A-ACC-CZK (hedged) </t>
  </si>
  <si>
    <t>LU2807456855</t>
  </si>
  <si>
    <t>Max 2% z odkupu</t>
  </si>
  <si>
    <t>max 15% z investice, po prvním roce 0%</t>
  </si>
  <si>
    <t>max 30% z investice, výše klesá o 6% každoročně po dobu 5 let, následně 0%</t>
  </si>
  <si>
    <t>max 10% z investice, po dobu prvních 3 let</t>
  </si>
  <si>
    <t xml:space="preserve">J&amp;T ARCH II CZK H </t>
  </si>
  <si>
    <t xml:space="preserve">J&amp;T ARCH II EUR H </t>
  </si>
  <si>
    <t>CZ1005203677</t>
  </si>
  <si>
    <t>CZ1005203685</t>
  </si>
  <si>
    <t>Max. 30,00 % (u odkupu s Notice Period 0 měsíců) Max. 5,00 % (u odkupu s Notice Period 9 měsíců) Max. 2,00 % (u odkupu s Notice Period 21 měsíců)</t>
  </si>
  <si>
    <t xml:space="preserve">AMUNDI FUNDS EUROPE EQUITY CLIMATE - A CZK Hgd </t>
  </si>
  <si>
    <t>LU1883868736</t>
  </si>
  <si>
    <t xml:space="preserve">Amundi Fund Solutions - Multi-Asset Balanced - A CZK Hgd </t>
  </si>
  <si>
    <t>LU1121646696</t>
  </si>
  <si>
    <t>4 roky</t>
  </si>
  <si>
    <t xml:space="preserve">AMUNDI FUNDS SBI FM INDIA EQUITY - A CZK </t>
  </si>
  <si>
    <t>LU2716742528</t>
  </si>
  <si>
    <t xml:space="preserve">Goldman Sachs European Equity-X HEDGED CZK </t>
  </si>
  <si>
    <t>LU0405488742</t>
  </si>
  <si>
    <t xml:space="preserve">Goldman Sachs Patrimonial Aggressive-X HEDGED CZK </t>
  </si>
  <si>
    <t>LU0405489047</t>
  </si>
  <si>
    <t xml:space="preserve">FTIF-Templeton Asian Growth Fund - A(acc)CZK-H1 </t>
  </si>
  <si>
    <t>LU0768356247</t>
  </si>
  <si>
    <t>Goldman Sachs Emerging Markets High Dividend - X Cap CZK (hedged I)</t>
  </si>
  <si>
    <t>LU0799821219</t>
  </si>
  <si>
    <t xml:space="preserve">FF - Global High Yield Fund A-ACC-CZK (hedged) </t>
  </si>
  <si>
    <t>LU1114574418</t>
  </si>
  <si>
    <t xml:space="preserve">Goldman Sachs Japan Equity-X (CZK) Hedged </t>
  </si>
  <si>
    <t>LU0429745879</t>
  </si>
  <si>
    <t>FTIF-Franklin Mutual European Fund - A(acc)CZK-H1</t>
  </si>
  <si>
    <t>LU0768356080</t>
  </si>
  <si>
    <t>AMUNDI FUNDS US EQUITY FUNDAMENTAL GROWTH - A EUR</t>
  </si>
  <si>
    <t>LU1883854199</t>
  </si>
  <si>
    <t>AMUNDI FUNDS US PIONEER FUND - A EUR</t>
  </si>
  <si>
    <t>LU1883872332</t>
  </si>
  <si>
    <t xml:space="preserve">FF - Global Dividend Fund A-ACC-EUR (hedged) </t>
  </si>
  <si>
    <t>LU0605515377</t>
  </si>
  <si>
    <t xml:space="preserve">FTIF-Franklin Technology Fund-A(acc)EUR </t>
  </si>
  <si>
    <t>LU0260870158</t>
  </si>
  <si>
    <t xml:space="preserve">FTIF-Franklin India Fund-A(acc)EUR </t>
  </si>
  <si>
    <t>LU0231205187</t>
  </si>
  <si>
    <t xml:space="preserve">Goldman Sachs Global Sustainable Equity - P Cap EUR </t>
  </si>
  <si>
    <t>LU0119216553</t>
  </si>
  <si>
    <t xml:space="preserve">FF - World Fund A-ACC-EUR </t>
  </si>
  <si>
    <t>LU1261432659</t>
  </si>
  <si>
    <t xml:space="preserve">FF – China Innovation Fund A-ACC-EUR </t>
  </si>
  <si>
    <t>LU0455706654</t>
  </si>
  <si>
    <t>FF - Germany Fund A-ACC-EUR</t>
  </si>
  <si>
    <t>LU0261948227</t>
  </si>
  <si>
    <t>Goldman Sachs Eurozone Equity - X Cap EUR</t>
  </si>
  <si>
    <t>LU0113307978</t>
  </si>
  <si>
    <t>AMUNDI FUNDS US PIONEER FUND - A USD</t>
  </si>
  <si>
    <t>LU1883872415</t>
  </si>
  <si>
    <t xml:space="preserve">AMUNDI FUNDS US SHORT TERM BOND - A2 USD </t>
  </si>
  <si>
    <t>LU1882441907</t>
  </si>
  <si>
    <t>AMUNDI FUNDS US EQUITY FUNDAMENTAL GROWTH - A USD</t>
  </si>
  <si>
    <t>LU1883854355</t>
  </si>
  <si>
    <t xml:space="preserve">FTIF-Franklin Technology Fund-A(acc)USD </t>
  </si>
  <si>
    <t>LU0109392836</t>
  </si>
  <si>
    <t>BlackRock-BGF World Mining A2 USD</t>
  </si>
  <si>
    <t>LU0075056555</t>
  </si>
  <si>
    <t>7/7</t>
  </si>
  <si>
    <t>BlackRock (Luxembourg) S.A.</t>
  </si>
  <si>
    <t xml:space="preserve">FTIF-Franklin Innovation Fund-A (acc) USD </t>
  </si>
  <si>
    <t>LU2063271972</t>
  </si>
  <si>
    <t xml:space="preserve">FTIF-Franklin Biotechnology Discovery Fund - A(acc)USD </t>
  </si>
  <si>
    <t>LU0109394709</t>
  </si>
  <si>
    <t xml:space="preserve">FTIF-Franklin Gold &amp; Precious Metals Fund - A(acc)USD </t>
  </si>
  <si>
    <t>LU0496367417</t>
  </si>
  <si>
    <t xml:space="preserve">FTIF-Franklin India Fund-A(acc)USD </t>
  </si>
  <si>
    <t>LU0231203729</t>
  </si>
  <si>
    <t>BlackRock-BGF Sustainable Energy A2 USD</t>
  </si>
  <si>
    <t>LU0124384867</t>
  </si>
  <si>
    <t xml:space="preserve">FIRST EAGLE AMUNDI INTERNATIONAL FUND - AHK </t>
  </si>
  <si>
    <t>LU1095742109</t>
  </si>
  <si>
    <t xml:space="preserve">AMUNDI FUNDS GLOBAL EQUITY INCOME - A2 CZK Hgd QTI </t>
  </si>
  <si>
    <t>LU1883320720</t>
  </si>
  <si>
    <t>AMUNDI FUNDS STRATEGIC INCOME - A CZK Hgd</t>
  </si>
  <si>
    <t>LU1883840990</t>
  </si>
  <si>
    <t xml:space="preserve">AMUNDI FUNDS EURO STRATEGIC BOND - A CZK Hgd </t>
  </si>
  <si>
    <t>LU1882475806</t>
  </si>
  <si>
    <t xml:space="preserve">AMUNDI FUNDS EUROPEAN EQUITY SUST. INCOME - A2 CZK Hgd </t>
  </si>
  <si>
    <t>LU1883311067</t>
  </si>
  <si>
    <t xml:space="preserve">AMUNDI MSCI North America ESG Broad CTB Select Index - AHK </t>
  </si>
  <si>
    <t>LU1049757393</t>
  </si>
  <si>
    <t xml:space="preserve">AMUNDI FUNDS EUROP. EQUITY SUST. INCOME - A2 CZK Hgd SATI </t>
  </si>
  <si>
    <t>LU1883311141</t>
  </si>
  <si>
    <t xml:space="preserve">AMUNDI MSCI North America ESG Broad CTB Select Index - AU </t>
  </si>
  <si>
    <t>LU0442407853</t>
  </si>
  <si>
    <t xml:space="preserve">AMUNDI FUNDS EUROPE EQUITY CLIMATE - A EUR </t>
  </si>
  <si>
    <t>LU1883868819</t>
  </si>
  <si>
    <t>AMUNDI FUNDS EMERGING WORLD EQUITY - A CZK Hgd</t>
  </si>
  <si>
    <t>LU1049754457</t>
  </si>
  <si>
    <t xml:space="preserve">AMUNDI FUNDS GLOBAL EQUITY SUST. INCOME - A2 USD </t>
  </si>
  <si>
    <t>LU1883321371</t>
  </si>
  <si>
    <t>AMUNDI FUNDS GLOBAL AGGREGATE BOND - A CZK Hgd</t>
  </si>
  <si>
    <t>LU1049752758</t>
  </si>
  <si>
    <t xml:space="preserve">3 roky </t>
  </si>
  <si>
    <t>AMUNDI FUNDS GLOBAL MULTI-ASSET TARGET INCOME - A2 CZK Hgd</t>
  </si>
  <si>
    <t>LU1883330364</t>
  </si>
  <si>
    <t>Amundi Fund Solutions - Multi-Asset Growth - A CZK Hgd</t>
  </si>
  <si>
    <t>LU1121647231</t>
  </si>
  <si>
    <t xml:space="preserve">AMUNDI FUNDS EUROLAND EQUITY - A USD </t>
  </si>
  <si>
    <t>LU1883303809</t>
  </si>
  <si>
    <t>AMUNDI FUNDS PIONEER GLOBAL EQUITY - A USD</t>
  </si>
  <si>
    <t>LU1883342617</t>
  </si>
  <si>
    <t>AMUNDI FUNDS SBI FM INDIA EQUITY - A USD</t>
  </si>
  <si>
    <t>LU0236501697</t>
  </si>
  <si>
    <t>AMUNDI INDEX MSCI EUROPE  - AE</t>
  </si>
  <si>
    <t>LU0389811885</t>
  </si>
  <si>
    <t>AMUNDI FUNDS EURO HIGH YIELD BOND - A CZK Hgd</t>
  </si>
  <si>
    <t>LU1049751867</t>
  </si>
  <si>
    <t>AMUNDI FUNDS EUROPEAN EQUITY VALUE - A EUR</t>
  </si>
  <si>
    <t>LU1883314244</t>
  </si>
  <si>
    <t xml:space="preserve">AMUNDI FUNDS EUROLAND EQUITY - A EUR </t>
  </si>
  <si>
    <t>LU1883303635</t>
  </si>
  <si>
    <t>AMUNDI FUNDS US EQUITY RESEARCH - A USD</t>
  </si>
  <si>
    <t>LU1883859404</t>
  </si>
  <si>
    <t xml:space="preserve">AMUNDI FUNDS MULTI-ASSET REAL RETURN - A CZK Hgd </t>
  </si>
  <si>
    <t>LU1650130344</t>
  </si>
  <si>
    <t>AMUNDI FUNDS EMERGING MARKETS LOCAL CURRENCY BOND - A CZK Hgd</t>
  </si>
  <si>
    <t>LU1880385494</t>
  </si>
  <si>
    <t xml:space="preserve">FF - China Consumer Fund A-ACC-USD </t>
  </si>
  <si>
    <t>LU0594300179</t>
  </si>
  <si>
    <t xml:space="preserve">FTIF-Franklin High Yield Fund-A(acc)USD </t>
  </si>
  <si>
    <t>LU0131126228</t>
  </si>
  <si>
    <t>LU1084165130</t>
  </si>
  <si>
    <t xml:space="preserve">BlackRock-BGF Latin American A2 USD </t>
  </si>
  <si>
    <t>LU0072463663</t>
  </si>
  <si>
    <t>FF - Euro Short Term Bond Fund A-ACC-EUR</t>
  </si>
  <si>
    <t>LU0267388220</t>
  </si>
  <si>
    <t>KBI INSTITUTIONAL WATER FUND - A CZK</t>
  </si>
  <si>
    <t>IE00BZ2YQN98</t>
  </si>
  <si>
    <t>FF - European High Yield Fund A-ACC-CZK (hedged)</t>
  </si>
  <si>
    <t>LU0979393146</t>
  </si>
  <si>
    <t xml:space="preserve">FTIF-Franklin Gold &amp; Precious Metals Fund-A(acc)EUR </t>
  </si>
  <si>
    <t>LU0496367763</t>
  </si>
  <si>
    <t>Goldman Sachs US Enhanced Equity - X Cap USD</t>
  </si>
  <si>
    <t>LU0113305253</t>
  </si>
  <si>
    <t xml:space="preserve">FF - Global Dividend Fund A-ACC-USD </t>
  </si>
  <si>
    <t>LU0772969993</t>
  </si>
  <si>
    <t xml:space="preserve">FTIF-Franklin Technology Fund - A (acc) EUR-H1 </t>
  </si>
  <si>
    <t>LU1704830576</t>
  </si>
  <si>
    <t xml:space="preserve">Goldman Sachs Greater China Equity X Cap CZK (hedged i) </t>
  </si>
  <si>
    <t>LU2374236318</t>
  </si>
  <si>
    <t xml:space="preserve">FF - Pacific Fund A-ACC-EUR </t>
  </si>
  <si>
    <t>LU0368678339</t>
  </si>
  <si>
    <t xml:space="preserve">Goldman Sachs Patrimonial Aggressive-P Cap EUR </t>
  </si>
  <si>
    <t>LU0119195450</t>
  </si>
  <si>
    <t>FTIF-Templeton Global Bond Fund-A(acc)CZK-H1</t>
  </si>
  <si>
    <t>LU0768356593</t>
  </si>
  <si>
    <t xml:space="preserve">FTIF-Templeton BRIC Fund-A(acc)EUR </t>
  </si>
  <si>
    <t>LU0229946628</t>
  </si>
  <si>
    <t>Goldman Sachs Emerging Markets Debt (Hard Currency) - P Cap CZK (Hedged i)</t>
  </si>
  <si>
    <t>LU2007298628</t>
  </si>
  <si>
    <t xml:space="preserve">FTIF-Franklin Income Fund - A(acc)USD </t>
  </si>
  <si>
    <t>LU1162221912</t>
  </si>
  <si>
    <t xml:space="preserve">FTIF-Templeton Frontier Markets Fund - A(acc)EUR </t>
  </si>
  <si>
    <t>LU0390137031</t>
  </si>
  <si>
    <t xml:space="preserve">FTIF-Templeton Emerging Markets Fund - A(acc)USD </t>
  </si>
  <si>
    <t>LU0128522744</t>
  </si>
  <si>
    <t>FF - Global Dividend Plus Fund - A-ACC-EUR</t>
  </si>
  <si>
    <t>LU0261951957</t>
  </si>
  <si>
    <t xml:space="preserve">Amundi Ireland Limited </t>
  </si>
  <si>
    <t xml:space="preserve">FF - Emerging Markets Fund - A-ACC-EUR </t>
  </si>
  <si>
    <t>LU1048684796</t>
  </si>
  <si>
    <t xml:space="preserve">FTIF-Templeton Asian Growth Fund - A(acc)USD </t>
  </si>
  <si>
    <t>LU0128522157</t>
  </si>
  <si>
    <t>LU0979392841</t>
  </si>
  <si>
    <t xml:space="preserve">BlackRock-BGF Global Equity Income A2 USD </t>
  </si>
  <si>
    <t>LU0545039389</t>
  </si>
  <si>
    <t xml:space="preserve">FTIF-Franklin Technology Fund - N(acc)USD </t>
  </si>
  <si>
    <t>LU0122613655</t>
  </si>
  <si>
    <t>FTIF-Templeton Frontier Markets Fund - A(acc)USD</t>
  </si>
  <si>
    <t>LU0390136736</t>
  </si>
  <si>
    <t>FF - Global Technology Fund - A-ACC-EUR (hedged)</t>
  </si>
  <si>
    <t>LU1841614867</t>
  </si>
  <si>
    <t xml:space="preserve">BlackRock-BGF Global Allocation A2 USD </t>
  </si>
  <si>
    <t>LU0072462426</t>
  </si>
  <si>
    <t xml:space="preserve">FF - UK Special Situations Fund - A-ACC-EUR </t>
  </si>
  <si>
    <t>LU2050860480</t>
  </si>
  <si>
    <t>FTIF-Templeton Global Climate Change - Fund-A(acc)CZK-H1</t>
  </si>
  <si>
    <t>LU2310757120</t>
  </si>
  <si>
    <t xml:space="preserve">FTIF-Templeton Frontier Markets Fund - A(Ydis)USD </t>
  </si>
  <si>
    <t>LU0390137627</t>
  </si>
  <si>
    <t>FF - World Fund A - EUR</t>
  </si>
  <si>
    <t>LU0069449576</t>
  </si>
  <si>
    <t>FF - Emerging Markets Fund A-ACC-USD</t>
  </si>
  <si>
    <t>LU0261950470</t>
  </si>
  <si>
    <t>BlackRock-BGF Asian Dragon A2 USD</t>
  </si>
  <si>
    <t>LU0072462343</t>
  </si>
  <si>
    <t xml:space="preserve">FTIF-Franklin Innovation Fund - A (Ydis) EUR </t>
  </si>
  <si>
    <t>LU2075955273</t>
  </si>
  <si>
    <t>LU0128525689</t>
  </si>
  <si>
    <t xml:space="preserve">BlackRock-BSF European Select Strategies Fund A2 Hedged CZK </t>
  </si>
  <si>
    <t>LU1433515993</t>
  </si>
  <si>
    <t>FTIF-Franklin Mutual European Fund - A(acc)EUR</t>
  </si>
  <si>
    <t>LU0140363002</t>
  </si>
  <si>
    <t>Goldman Sachs  Eurozone Equity Income - X Cap EUR</t>
  </si>
  <si>
    <t>LU0127786860</t>
  </si>
  <si>
    <t>LU2242646235</t>
  </si>
  <si>
    <t xml:space="preserve">FTIF-Templeton Global Fund - A(acc)USD </t>
  </si>
  <si>
    <t>LU0128525929</t>
  </si>
  <si>
    <t xml:space="preserve">FTIF-Franklin Euro High Yield Fund - A(acc)EUR </t>
  </si>
  <si>
    <t>LU0131126574</t>
  </si>
  <si>
    <t>Goldman Sachs Central European Equity - P Cap EUR</t>
  </si>
  <si>
    <t>LU0176676459</t>
  </si>
  <si>
    <t>FF - Global Industrials Fund A-ACC-USD</t>
  </si>
  <si>
    <t>LU2701599156</t>
  </si>
  <si>
    <t xml:space="preserve">Goldman Sachs Central European Equity - P Dis CZK </t>
  </si>
  <si>
    <t>LU0120667240</t>
  </si>
  <si>
    <t>FTIF-Templeton Emerging Markets Smaller Comp. Fund - A(acc)EUR</t>
  </si>
  <si>
    <t>LU0300743431</t>
  </si>
  <si>
    <t>LU0121175821</t>
  </si>
  <si>
    <t>LU0231790675</t>
  </si>
  <si>
    <t>FF - Global Industrials Fund A-ACC-EUR</t>
  </si>
  <si>
    <t>LU2504555777</t>
  </si>
  <si>
    <t xml:space="preserve">FIL Investment Management (Luxembourg) S.à.r.l. </t>
  </si>
  <si>
    <t>LU0261946445</t>
  </si>
  <si>
    <t>BlackRock-BGF Euro Corporate Bond Fund A2 CZK</t>
  </si>
  <si>
    <t>LU1791176222</t>
  </si>
  <si>
    <t>LU1212701889</t>
  </si>
  <si>
    <t>FF - Emerging Asia Fund A-ACC-US</t>
  </si>
  <si>
    <t>LU0329678337</t>
  </si>
  <si>
    <t>FF - Europe Equity ESG Fund A-ACC-CZK (hedged)</t>
  </si>
  <si>
    <t>FF - Global Defensive Equity Fund A-ACC-USD</t>
  </si>
  <si>
    <t>FF - Global Dividend Plus Fund A-ACC-USD</t>
  </si>
  <si>
    <t>FF – Asia Equity ESG Fund A-ACC-EUR</t>
  </si>
  <si>
    <t>FTIF-Templeton Global Value and Income Fund A (acc) USD</t>
  </si>
  <si>
    <t>Goldman Sachs Global Environmental Transition Equity - X Cap USD</t>
  </si>
  <si>
    <t>FTIF-Templeton Japan Fund A (acc) EUR</t>
  </si>
  <si>
    <t>FTIF-Franklin Alternative Strategies Fund A (acc) CZK-H1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</si>
</sst>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wrapText="1"/>
    </xf>
    <xf numFmtId="49" fontId="0" fillId="3" borderId="0" xfId="0" applyNumberFormat="1" applyFill="1" applyAlignment="1">
      <alignment wrapText="1"/>
    </xf>
    <xf numFmtId="0" fontId="1" fillId="3" borderId="0" xfId="1" applyFill="1"/>
    <xf numFmtId="0" fontId="3" fillId="3" borderId="0" xfId="0" applyFont="1" applyFill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right" wrapText="1"/>
    </xf>
    <xf numFmtId="0" fontId="3" fillId="0" borderId="0" xfId="0" applyFont="1"/>
    <xf numFmtId="49" fontId="0" fillId="0" borderId="0" xfId="0" applyNumberFormat="1" applyAlignment="1">
      <alignment wrapText="1"/>
    </xf>
    <xf numFmtId="164" fontId="0" fillId="0" borderId="0" xfId="0" applyNumberFormat="1" applyAlignment="1">
      <alignment horizontal="right" wrapText="1"/>
    </xf>
    <xf numFmtId="0" fontId="1" fillId="0" borderId="0" xfId="1" applyFill="1" applyAlignment="1">
      <alignment wrapText="1"/>
    </xf>
    <xf numFmtId="10" fontId="0" fillId="0" borderId="0" xfId="2" applyNumberFormat="1" applyFont="1" applyAlignment="1">
      <alignment horizontal="right" wrapText="1"/>
    </xf>
    <xf numFmtId="10" fontId="0" fillId="3" borderId="0" xfId="2" applyNumberFormat="1" applyFont="1" applyFill="1" applyAlignment="1">
      <alignment horizontal="right" wrapText="1"/>
    </xf>
    <xf numFmtId="0" fontId="3" fillId="3" borderId="0" xfId="0" applyFont="1" applyFill="1" applyAlignment="1">
      <alignment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workbookViewId="0">
      <pane ySplit="1" topLeftCell="A119" activePane="bottomLeft" state="frozen"/>
      <selection pane="bottomLeft" activeCell="B152" sqref="A120:B152"/>
    </sheetView>
  </sheetViews>
  <sheetFormatPr defaultRowHeight="15" x14ac:dyDescent="0.25"/>
  <cols>
    <col min="1" max="1" width="65.28515625" bestFit="1" customWidth="1"/>
    <col min="2" max="2" width="13.85546875" bestFit="1" customWidth="1"/>
    <col min="3" max="3" width="24.42578125" customWidth="1"/>
    <col min="4" max="4" width="25.140625" customWidth="1"/>
    <col min="5" max="5" width="26" customWidth="1"/>
    <col min="6" max="6" width="18" customWidth="1"/>
    <col min="7" max="7" width="26.85546875" customWidth="1"/>
    <col min="8" max="10" width="24.85546875" customWidth="1"/>
    <col min="11" max="11" width="33.85546875" customWidth="1"/>
    <col min="12" max="12" width="77.5703125" bestFit="1" customWidth="1"/>
  </cols>
  <sheetData>
    <row r="1" spans="1:1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61</v>
      </c>
      <c r="J1" s="1" t="s">
        <v>62</v>
      </c>
      <c r="K1" s="1" t="s">
        <v>8</v>
      </c>
      <c r="L1" s="1" t="s">
        <v>9</v>
      </c>
    </row>
    <row r="2" spans="1:12" ht="45" x14ac:dyDescent="0.25">
      <c r="A2" s="9" t="s">
        <v>70</v>
      </c>
      <c r="B2" t="s">
        <v>10</v>
      </c>
      <c r="C2" s="7" t="s">
        <v>11</v>
      </c>
      <c r="D2" s="7" t="s">
        <v>63</v>
      </c>
      <c r="E2" s="7" t="s">
        <v>12</v>
      </c>
      <c r="F2" s="7" t="s">
        <v>13</v>
      </c>
      <c r="G2" s="7" t="s">
        <v>14</v>
      </c>
      <c r="H2" s="10" t="s">
        <v>15</v>
      </c>
      <c r="I2" s="11">
        <v>0</v>
      </c>
      <c r="J2" s="13">
        <v>1.17E-2</v>
      </c>
      <c r="K2" s="7" t="s">
        <v>16</v>
      </c>
      <c r="L2" s="12" t="str">
        <f>HYPERLINK("https://www.jtis.cz/download/5/2/8/1/BCZKID.pdf","KID")</f>
        <v>KID</v>
      </c>
    </row>
    <row r="3" spans="1:12" s="2" customFormat="1" ht="45" x14ac:dyDescent="0.25">
      <c r="A3" s="6" t="s">
        <v>71</v>
      </c>
      <c r="B3" s="2" t="s">
        <v>17</v>
      </c>
      <c r="C3" s="3" t="s">
        <v>11</v>
      </c>
      <c r="D3" s="3" t="s">
        <v>63</v>
      </c>
      <c r="E3" s="3" t="s">
        <v>18</v>
      </c>
      <c r="F3" s="3" t="s">
        <v>13</v>
      </c>
      <c r="G3" s="3" t="s">
        <v>14</v>
      </c>
      <c r="H3" s="4" t="s">
        <v>19</v>
      </c>
      <c r="I3" s="8">
        <v>0</v>
      </c>
      <c r="J3" s="14">
        <v>8.9999999999999993E-3</v>
      </c>
      <c r="K3" s="3" t="s">
        <v>16</v>
      </c>
      <c r="L3" s="5" t="str">
        <f>HYPERLINK("https://www.jtis.cz/download/5/2/8/3/CAFKID.pdf","KID")</f>
        <v>KID</v>
      </c>
    </row>
    <row r="4" spans="1:12" ht="45" x14ac:dyDescent="0.25">
      <c r="A4" s="9" t="s">
        <v>20</v>
      </c>
      <c r="B4" t="s">
        <v>21</v>
      </c>
      <c r="C4" s="7" t="s">
        <v>11</v>
      </c>
      <c r="D4" s="7" t="s">
        <v>63</v>
      </c>
      <c r="E4" s="7" t="s">
        <v>22</v>
      </c>
      <c r="F4" s="7" t="s">
        <v>13</v>
      </c>
      <c r="G4" s="7" t="s">
        <v>14</v>
      </c>
      <c r="H4" s="10" t="s">
        <v>15</v>
      </c>
      <c r="I4" s="11">
        <v>0</v>
      </c>
      <c r="J4" s="13">
        <v>1.17E-2</v>
      </c>
      <c r="K4" s="7" t="s">
        <v>16</v>
      </c>
      <c r="L4" s="12" t="str">
        <f>HYPERLINK("https://www.jtis.cz/download/5/2/8/5/FLXKID.pdf","KID")</f>
        <v>KID</v>
      </c>
    </row>
    <row r="5" spans="1:12" s="2" customFormat="1" ht="45" x14ac:dyDescent="0.25">
      <c r="A5" s="6" t="s">
        <v>24</v>
      </c>
      <c r="B5" s="2" t="s">
        <v>25</v>
      </c>
      <c r="C5" s="3" t="s">
        <v>11</v>
      </c>
      <c r="D5" s="3" t="s">
        <v>63</v>
      </c>
      <c r="E5" s="3" t="s">
        <v>26</v>
      </c>
      <c r="F5" s="3" t="s">
        <v>13</v>
      </c>
      <c r="G5" s="3" t="s">
        <v>14</v>
      </c>
      <c r="H5" s="4" t="s">
        <v>27</v>
      </c>
      <c r="I5" s="8">
        <v>0</v>
      </c>
      <c r="J5" s="14">
        <v>1.17E-2</v>
      </c>
      <c r="K5" s="3" t="s">
        <v>16</v>
      </c>
      <c r="L5" s="5" t="str">
        <f>HYPERLINK("https://www.jtis.cz/download/5/3/0/7/RADKID.pdf","KID")</f>
        <v>KID</v>
      </c>
    </row>
    <row r="6" spans="1:12" ht="45" x14ac:dyDescent="0.25">
      <c r="A6" s="9" t="s">
        <v>28</v>
      </c>
      <c r="B6" t="s">
        <v>29</v>
      </c>
      <c r="C6" s="7" t="s">
        <v>11</v>
      </c>
      <c r="D6" s="7" t="s">
        <v>63</v>
      </c>
      <c r="E6" s="7" t="s">
        <v>12</v>
      </c>
      <c r="F6" s="7" t="s">
        <v>13</v>
      </c>
      <c r="G6" s="7" t="s">
        <v>14</v>
      </c>
      <c r="H6" s="10" t="s">
        <v>23</v>
      </c>
      <c r="I6" s="11">
        <v>0</v>
      </c>
      <c r="J6" s="13">
        <v>6.5000000000000006E-3</v>
      </c>
      <c r="K6" s="7" t="s">
        <v>16</v>
      </c>
      <c r="L6" s="12" t="str">
        <f>HYPERLINK("https://www.jtis.cz/download/5/3/5/9/MCOKID.pdf","KID")</f>
        <v>KID</v>
      </c>
    </row>
    <row r="7" spans="1:12" s="2" customFormat="1" ht="45" x14ac:dyDescent="0.25">
      <c r="A7" s="6" t="s">
        <v>30</v>
      </c>
      <c r="B7" s="2" t="s">
        <v>31</v>
      </c>
      <c r="C7" s="3" t="s">
        <v>11</v>
      </c>
      <c r="D7" s="3" t="s">
        <v>63</v>
      </c>
      <c r="E7" s="3" t="s">
        <v>26</v>
      </c>
      <c r="F7" s="3" t="s">
        <v>13</v>
      </c>
      <c r="G7" s="3" t="s">
        <v>14</v>
      </c>
      <c r="H7" s="4" t="s">
        <v>27</v>
      </c>
      <c r="I7" s="8">
        <v>0</v>
      </c>
      <c r="J7" s="14">
        <v>9.75E-3</v>
      </c>
      <c r="K7" s="3" t="s">
        <v>16</v>
      </c>
      <c r="L7" s="5" t="str">
        <f>HYPERLINK("https://www.jtis.cz/download/5/3/7/4/MDIKID.pdf","KID")</f>
        <v>KID</v>
      </c>
    </row>
    <row r="8" spans="1:12" ht="45" x14ac:dyDescent="0.25">
      <c r="A8" s="9" t="s">
        <v>32</v>
      </c>
      <c r="B8" t="s">
        <v>33</v>
      </c>
      <c r="C8" s="7" t="s">
        <v>11</v>
      </c>
      <c r="D8" s="7" t="s">
        <v>63</v>
      </c>
      <c r="E8" s="7" t="s">
        <v>12</v>
      </c>
      <c r="F8" s="7" t="s">
        <v>13</v>
      </c>
      <c r="G8" s="7" t="s">
        <v>14</v>
      </c>
      <c r="H8" s="10" t="s">
        <v>23</v>
      </c>
      <c r="I8" s="11">
        <v>0</v>
      </c>
      <c r="J8" s="13">
        <v>1.235E-2</v>
      </c>
      <c r="K8" s="7" t="s">
        <v>16</v>
      </c>
      <c r="L8" s="12" t="str">
        <f>HYPERLINK("https://www.jtis.cz/download/5/2/8/9/LBAKID.pdf","KID")</f>
        <v>KID</v>
      </c>
    </row>
    <row r="9" spans="1:12" s="2" customFormat="1" ht="45" x14ac:dyDescent="0.25">
      <c r="A9" s="6" t="s">
        <v>34</v>
      </c>
      <c r="B9" s="2" t="s">
        <v>35</v>
      </c>
      <c r="C9" s="3" t="s">
        <v>11</v>
      </c>
      <c r="D9" s="3" t="s">
        <v>63</v>
      </c>
      <c r="E9" s="3" t="s">
        <v>26</v>
      </c>
      <c r="F9" s="3" t="s">
        <v>13</v>
      </c>
      <c r="G9" s="3" t="s">
        <v>14</v>
      </c>
      <c r="H9" s="4" t="s">
        <v>27</v>
      </c>
      <c r="I9" s="8">
        <v>0</v>
      </c>
      <c r="J9" s="14">
        <v>1.235E-2</v>
      </c>
      <c r="K9" s="3" t="s">
        <v>16</v>
      </c>
      <c r="L9" s="5" t="str">
        <f>HYPERLINK("https://www.jtis.cz/download/5/2/9/1/LDYKID.pdf","KID")</f>
        <v>KID</v>
      </c>
    </row>
    <row r="10" spans="1:12" ht="45" x14ac:dyDescent="0.25">
      <c r="A10" s="9" t="s">
        <v>36</v>
      </c>
      <c r="B10" t="s">
        <v>37</v>
      </c>
      <c r="C10" s="7" t="s">
        <v>11</v>
      </c>
      <c r="D10" s="7" t="s">
        <v>63</v>
      </c>
      <c r="E10" s="7" t="s">
        <v>22</v>
      </c>
      <c r="F10" s="7" t="s">
        <v>13</v>
      </c>
      <c r="G10" s="7" t="s">
        <v>14</v>
      </c>
      <c r="H10" s="10" t="s">
        <v>23</v>
      </c>
      <c r="I10" s="11">
        <v>0</v>
      </c>
      <c r="J10" s="13">
        <v>9.1000000000000004E-3</v>
      </c>
      <c r="K10" s="7" t="s">
        <v>16</v>
      </c>
      <c r="L10" s="12" t="str">
        <f>HYPERLINK("https://www.jtis.cz/download/5/2/9/5/LKOKID.pdf","KID")</f>
        <v>KID</v>
      </c>
    </row>
    <row r="11" spans="1:12" s="2" customFormat="1" ht="45" x14ac:dyDescent="0.25">
      <c r="A11" s="6" t="s">
        <v>72</v>
      </c>
      <c r="B11" s="2" t="s">
        <v>38</v>
      </c>
      <c r="C11" s="3" t="s">
        <v>11</v>
      </c>
      <c r="D11" s="3" t="s">
        <v>63</v>
      </c>
      <c r="E11" s="3" t="s">
        <v>22</v>
      </c>
      <c r="F11" s="3" t="s">
        <v>13</v>
      </c>
      <c r="G11" s="3" t="s">
        <v>14</v>
      </c>
      <c r="H11" s="4" t="s">
        <v>15</v>
      </c>
      <c r="I11" s="8">
        <v>0</v>
      </c>
      <c r="J11" s="14">
        <v>9.1000000000000004E-3</v>
      </c>
      <c r="K11" s="3" t="s">
        <v>16</v>
      </c>
      <c r="L11" s="5" t="str">
        <f>HYPERLINK("https://www.jtis.cz/download/5/7/7/4/MOCKID.pdf","KID")</f>
        <v>KID</v>
      </c>
    </row>
    <row r="12" spans="1:12" ht="45" x14ac:dyDescent="0.25">
      <c r="A12" s="9" t="s">
        <v>39</v>
      </c>
      <c r="B12" t="s">
        <v>40</v>
      </c>
      <c r="C12" s="7" t="s">
        <v>11</v>
      </c>
      <c r="D12" s="7" t="s">
        <v>63</v>
      </c>
      <c r="E12" s="7" t="s">
        <v>26</v>
      </c>
      <c r="F12" s="7" t="s">
        <v>13</v>
      </c>
      <c r="G12" s="7" t="s">
        <v>14</v>
      </c>
      <c r="H12" s="10" t="s">
        <v>27</v>
      </c>
      <c r="I12" s="11">
        <v>0</v>
      </c>
      <c r="J12" s="13">
        <v>6.5000000000000006E-3</v>
      </c>
      <c r="K12" s="7" t="s">
        <v>16</v>
      </c>
      <c r="L12" s="12" t="str">
        <f>HYPERLINK("https://www.jtis.cz/download/5/3/0/1/NGFKID.pdf","KID")</f>
        <v>KID</v>
      </c>
    </row>
    <row r="13" spans="1:12" s="2" customFormat="1" ht="45" x14ac:dyDescent="0.25">
      <c r="A13" s="6" t="s">
        <v>41</v>
      </c>
      <c r="B13" s="2" t="s">
        <v>42</v>
      </c>
      <c r="C13" s="3" t="s">
        <v>11</v>
      </c>
      <c r="D13" s="3" t="s">
        <v>63</v>
      </c>
      <c r="E13" s="3" t="s">
        <v>26</v>
      </c>
      <c r="F13" s="3" t="s">
        <v>13</v>
      </c>
      <c r="G13" s="3" t="s">
        <v>14</v>
      </c>
      <c r="H13" s="4" t="s">
        <v>27</v>
      </c>
      <c r="I13" s="8">
        <v>0</v>
      </c>
      <c r="J13" s="14">
        <v>1.17E-2</v>
      </c>
      <c r="K13" s="3" t="s">
        <v>16</v>
      </c>
      <c r="L13" s="5" t="str">
        <f>HYPERLINK("https://www.jtis.cz/download/5/3/0/3/OCZKID.pdf","KID")</f>
        <v>KID</v>
      </c>
    </row>
    <row r="14" spans="1:12" ht="45" x14ac:dyDescent="0.25">
      <c r="A14" s="9" t="s">
        <v>43</v>
      </c>
      <c r="B14" t="s">
        <v>44</v>
      </c>
      <c r="C14" s="7" t="s">
        <v>11</v>
      </c>
      <c r="D14" s="7" t="s">
        <v>63</v>
      </c>
      <c r="E14" s="7" t="s">
        <v>12</v>
      </c>
      <c r="F14" s="7" t="s">
        <v>13</v>
      </c>
      <c r="G14" s="7" t="s">
        <v>14</v>
      </c>
      <c r="H14" s="10" t="s">
        <v>23</v>
      </c>
      <c r="I14" s="11" t="s">
        <v>118</v>
      </c>
      <c r="J14" s="13">
        <v>1.17E-2</v>
      </c>
      <c r="K14" s="7" t="s">
        <v>16</v>
      </c>
      <c r="L14" s="12" t="str">
        <f>HYPERLINK("https://www.jtis.cz/download/5/3/0/5/PERKID.pdf","KID")</f>
        <v>KID</v>
      </c>
    </row>
    <row r="15" spans="1:12" s="2" customFormat="1" ht="45" x14ac:dyDescent="0.25">
      <c r="A15" s="6" t="s">
        <v>45</v>
      </c>
      <c r="B15" s="2" t="s">
        <v>46</v>
      </c>
      <c r="C15" s="3" t="s">
        <v>11</v>
      </c>
      <c r="D15" s="3" t="s">
        <v>63</v>
      </c>
      <c r="E15" s="3" t="s">
        <v>12</v>
      </c>
      <c r="F15" s="3" t="s">
        <v>13</v>
      </c>
      <c r="G15" s="3" t="s">
        <v>14</v>
      </c>
      <c r="H15" s="4" t="s">
        <v>23</v>
      </c>
      <c r="I15" s="8">
        <v>0</v>
      </c>
      <c r="J15" s="14">
        <v>9.75E-3</v>
      </c>
      <c r="K15" s="3" t="s">
        <v>16</v>
      </c>
      <c r="L15" s="5" t="str">
        <f>HYPERLINK("https://www.jtis.cz/download/5/3/6/2/MREKID.pdf","KID")</f>
        <v>KID</v>
      </c>
    </row>
    <row r="16" spans="1:12" ht="45" x14ac:dyDescent="0.25">
      <c r="A16" s="9" t="s">
        <v>47</v>
      </c>
      <c r="B16" t="s">
        <v>48</v>
      </c>
      <c r="C16" s="7" t="s">
        <v>11</v>
      </c>
      <c r="D16" s="7" t="s">
        <v>63</v>
      </c>
      <c r="E16" s="7" t="s">
        <v>12</v>
      </c>
      <c r="F16" s="7" t="s">
        <v>13</v>
      </c>
      <c r="G16" s="7" t="s">
        <v>14</v>
      </c>
      <c r="H16" s="10" t="s">
        <v>23</v>
      </c>
      <c r="I16" s="11">
        <v>0</v>
      </c>
      <c r="J16" s="13">
        <v>6.5000000000000006E-3</v>
      </c>
      <c r="K16" s="7" t="s">
        <v>16</v>
      </c>
      <c r="L16" s="12" t="str">
        <f>HYPERLINK("https://www.jtis.cz/download/5/3/5/9/MCOKID.pdf","KID")</f>
        <v>KID</v>
      </c>
    </row>
    <row r="17" spans="1:12" s="2" customFormat="1" ht="45" x14ac:dyDescent="0.25">
      <c r="A17" s="6" t="s">
        <v>49</v>
      </c>
      <c r="B17" s="2" t="s">
        <v>50</v>
      </c>
      <c r="C17" s="3" t="s">
        <v>11</v>
      </c>
      <c r="D17" s="3" t="s">
        <v>63</v>
      </c>
      <c r="E17" s="3" t="s">
        <v>12</v>
      </c>
      <c r="F17" s="3" t="s">
        <v>13</v>
      </c>
      <c r="G17" s="3" t="s">
        <v>14</v>
      </c>
      <c r="H17" s="4" t="s">
        <v>23</v>
      </c>
      <c r="I17" s="8">
        <v>0</v>
      </c>
      <c r="J17" s="14">
        <v>4.875E-3</v>
      </c>
      <c r="K17" s="3" t="s">
        <v>16</v>
      </c>
      <c r="L17" s="5" t="str">
        <f>HYPERLINK("https://www.jtis.cz/download/5/3/5/9/MCOKID.pdf","KID")</f>
        <v>KID</v>
      </c>
    </row>
    <row r="18" spans="1:12" ht="45" x14ac:dyDescent="0.25">
      <c r="A18" s="9" t="s">
        <v>51</v>
      </c>
      <c r="B18" t="s">
        <v>52</v>
      </c>
      <c r="C18" s="7" t="s">
        <v>11</v>
      </c>
      <c r="D18" s="7" t="s">
        <v>63</v>
      </c>
      <c r="E18" s="7" t="s">
        <v>12</v>
      </c>
      <c r="F18" s="7" t="s">
        <v>13</v>
      </c>
      <c r="G18" s="7" t="s">
        <v>14</v>
      </c>
      <c r="H18" s="10" t="s">
        <v>23</v>
      </c>
      <c r="I18" s="11">
        <v>0</v>
      </c>
      <c r="J18" s="13">
        <v>4.875E-3</v>
      </c>
      <c r="K18" s="7" t="s">
        <v>16</v>
      </c>
      <c r="L18" s="12" t="str">
        <f>HYPERLINK("https://www.jtis.cz/download/5/3/5/9/MCOKID.pdf","KID")</f>
        <v>KID</v>
      </c>
    </row>
    <row r="19" spans="1:12" s="2" customFormat="1" ht="45" x14ac:dyDescent="0.25">
      <c r="A19" s="6" t="s">
        <v>53</v>
      </c>
      <c r="B19" s="2" t="s">
        <v>54</v>
      </c>
      <c r="C19" s="3" t="s">
        <v>11</v>
      </c>
      <c r="D19" s="3" t="s">
        <v>63</v>
      </c>
      <c r="E19" s="3" t="s">
        <v>26</v>
      </c>
      <c r="F19" s="3" t="s">
        <v>13</v>
      </c>
      <c r="G19" s="3" t="s">
        <v>14</v>
      </c>
      <c r="H19" s="4" t="s">
        <v>27</v>
      </c>
      <c r="I19" s="8">
        <v>0</v>
      </c>
      <c r="J19" s="14">
        <v>9.75E-3</v>
      </c>
      <c r="K19" s="3" t="s">
        <v>16</v>
      </c>
      <c r="L19" s="5" t="str">
        <f>HYPERLINK("https://www.jtis.cz/download/5/3/7/4/MDIKID.pdf","KID")</f>
        <v>KID</v>
      </c>
    </row>
    <row r="20" spans="1:12" ht="45" x14ac:dyDescent="0.25">
      <c r="A20" s="9" t="s">
        <v>55</v>
      </c>
      <c r="B20" t="s">
        <v>56</v>
      </c>
      <c r="C20" s="7" t="s">
        <v>11</v>
      </c>
      <c r="D20" s="7" t="s">
        <v>63</v>
      </c>
      <c r="E20" s="7" t="s">
        <v>26</v>
      </c>
      <c r="F20" s="7" t="s">
        <v>13</v>
      </c>
      <c r="G20" s="7" t="s">
        <v>14</v>
      </c>
      <c r="H20" s="10" t="s">
        <v>27</v>
      </c>
      <c r="I20" s="11">
        <v>0</v>
      </c>
      <c r="J20" s="13">
        <v>9.75E-3</v>
      </c>
      <c r="K20" s="7" t="s">
        <v>16</v>
      </c>
      <c r="L20" s="12" t="str">
        <f>HYPERLINK("https://www.jtis.cz/download/5/3/7/4/MDIKID.pdf","KID")</f>
        <v>KID</v>
      </c>
    </row>
    <row r="21" spans="1:12" s="2" customFormat="1" ht="45" x14ac:dyDescent="0.25">
      <c r="A21" s="6" t="s">
        <v>57</v>
      </c>
      <c r="B21" s="2" t="s">
        <v>58</v>
      </c>
      <c r="C21" s="3" t="s">
        <v>11</v>
      </c>
      <c r="D21" s="3" t="s">
        <v>63</v>
      </c>
      <c r="E21" s="3" t="s">
        <v>12</v>
      </c>
      <c r="F21" s="3" t="s">
        <v>13</v>
      </c>
      <c r="G21" s="3" t="s">
        <v>14</v>
      </c>
      <c r="H21" s="4" t="s">
        <v>23</v>
      </c>
      <c r="I21" s="8">
        <v>0</v>
      </c>
      <c r="J21" s="14">
        <v>9.75E-3</v>
      </c>
      <c r="K21" s="3" t="s">
        <v>16</v>
      </c>
      <c r="L21" s="5" t="str">
        <f>HYPERLINK("https://www.jtis.cz/download/5/3/6/2/MREKID.pdf","KID")</f>
        <v>KID</v>
      </c>
    </row>
    <row r="22" spans="1:12" ht="45" x14ac:dyDescent="0.25">
      <c r="A22" s="9" t="s">
        <v>59</v>
      </c>
      <c r="B22" t="s">
        <v>60</v>
      </c>
      <c r="C22" s="7" t="s">
        <v>11</v>
      </c>
      <c r="D22" s="7" t="s">
        <v>63</v>
      </c>
      <c r="E22" s="7" t="s">
        <v>12</v>
      </c>
      <c r="F22" s="7" t="s">
        <v>13</v>
      </c>
      <c r="G22" s="7" t="s">
        <v>14</v>
      </c>
      <c r="H22" s="10" t="s">
        <v>23</v>
      </c>
      <c r="I22" s="11">
        <v>0</v>
      </c>
      <c r="J22" s="13">
        <v>9.75E-3</v>
      </c>
      <c r="K22" s="7" t="s">
        <v>16</v>
      </c>
      <c r="L22" s="12" t="str">
        <f>HYPERLINK("https://www.jtis.cz/download/5/3/6/2/MREKID.pdf","KID")</f>
        <v>KID</v>
      </c>
    </row>
    <row r="23" spans="1:12" s="2" customFormat="1" ht="45" x14ac:dyDescent="0.25">
      <c r="A23" s="6" t="s">
        <v>91</v>
      </c>
      <c r="B23" s="2" t="s">
        <v>67</v>
      </c>
      <c r="C23" s="3" t="s">
        <v>11</v>
      </c>
      <c r="D23" s="3" t="s">
        <v>63</v>
      </c>
      <c r="E23" s="3" t="s">
        <v>26</v>
      </c>
      <c r="F23" s="3" t="s">
        <v>13</v>
      </c>
      <c r="G23" s="3" t="s">
        <v>14</v>
      </c>
      <c r="H23" s="4" t="s">
        <v>27</v>
      </c>
      <c r="I23" s="8">
        <v>0</v>
      </c>
      <c r="J23" s="14" t="s">
        <v>69</v>
      </c>
      <c r="K23" s="3" t="s">
        <v>16</v>
      </c>
      <c r="L23" s="5" t="str">
        <f>HYPERLINK("https://www.jtis.cz/download/7/5/6/3/EGFKID.pdf","KID")</f>
        <v>KID</v>
      </c>
    </row>
    <row r="24" spans="1:12" ht="45" x14ac:dyDescent="0.25">
      <c r="A24" s="9" t="s">
        <v>88</v>
      </c>
      <c r="B24" t="s">
        <v>89</v>
      </c>
      <c r="C24" s="7" t="s">
        <v>11</v>
      </c>
      <c r="D24" s="7" t="s">
        <v>63</v>
      </c>
      <c r="E24" s="7" t="s">
        <v>26</v>
      </c>
      <c r="F24" s="7" t="s">
        <v>13</v>
      </c>
      <c r="G24" s="7" t="s">
        <v>14</v>
      </c>
      <c r="H24" s="10" t="s">
        <v>27</v>
      </c>
      <c r="I24" s="11">
        <v>0</v>
      </c>
      <c r="J24" s="13">
        <v>7.7999999999999996E-3</v>
      </c>
      <c r="K24" s="7" t="s">
        <v>16</v>
      </c>
      <c r="L24" s="12" t="str">
        <f>HYPERLINK("https://www.jtis.cz/download/1/3/1/2/3/EGFEAKID.pdf","KID")</f>
        <v>KID</v>
      </c>
    </row>
    <row r="25" spans="1:12" s="2" customFormat="1" ht="45" x14ac:dyDescent="0.25">
      <c r="A25" s="6" t="s">
        <v>64</v>
      </c>
      <c r="B25" s="2" t="s">
        <v>65</v>
      </c>
      <c r="C25" s="3" t="s">
        <v>11</v>
      </c>
      <c r="D25" s="3" t="s">
        <v>63</v>
      </c>
      <c r="E25" s="3" t="s">
        <v>26</v>
      </c>
      <c r="F25" s="3" t="s">
        <v>13</v>
      </c>
      <c r="G25" s="3" t="s">
        <v>14</v>
      </c>
      <c r="H25" s="4" t="s">
        <v>68</v>
      </c>
      <c r="I25" s="8">
        <v>0</v>
      </c>
      <c r="J25" s="14" t="s">
        <v>69</v>
      </c>
      <c r="K25" s="3" t="s">
        <v>16</v>
      </c>
      <c r="L25" s="5" t="str">
        <f>HYPERLINK("https://www.jtis.cz/download/8/8/6/2/GIFKID.pdf","KID")</f>
        <v>KID</v>
      </c>
    </row>
    <row r="26" spans="1:12" ht="45" x14ac:dyDescent="0.25">
      <c r="A26" s="9" t="s">
        <v>90</v>
      </c>
      <c r="B26" t="s">
        <v>66</v>
      </c>
      <c r="C26" s="7" t="s">
        <v>11</v>
      </c>
      <c r="D26" s="7" t="s">
        <v>63</v>
      </c>
      <c r="E26" s="7" t="s">
        <v>26</v>
      </c>
      <c r="F26" s="7" t="s">
        <v>13</v>
      </c>
      <c r="G26" s="7" t="s">
        <v>14</v>
      </c>
      <c r="H26" s="10" t="s">
        <v>68</v>
      </c>
      <c r="I26" s="11">
        <v>0</v>
      </c>
      <c r="J26" s="13" t="s">
        <v>69</v>
      </c>
      <c r="K26" s="7" t="s">
        <v>16</v>
      </c>
      <c r="L26" s="12" t="str">
        <f>HYPERLINK("https://www.jtis.cz/download/1/1/3/9/6/WDFKID.pdf","KID")</f>
        <v>KID</v>
      </c>
    </row>
    <row r="27" spans="1:12" s="2" customFormat="1" ht="45" x14ac:dyDescent="0.25">
      <c r="A27" s="6" t="s">
        <v>92</v>
      </c>
      <c r="B27" s="2" t="s">
        <v>87</v>
      </c>
      <c r="C27" s="3" t="s">
        <v>11</v>
      </c>
      <c r="D27" s="3" t="s">
        <v>63</v>
      </c>
      <c r="E27" s="3" t="s">
        <v>26</v>
      </c>
      <c r="F27" s="3" t="s">
        <v>13</v>
      </c>
      <c r="G27" s="3" t="s">
        <v>14</v>
      </c>
      <c r="H27" s="4" t="s">
        <v>68</v>
      </c>
      <c r="I27" s="8">
        <v>0</v>
      </c>
      <c r="J27" s="14">
        <v>9.1000000000000004E-3</v>
      </c>
      <c r="K27" s="3" t="s">
        <v>16</v>
      </c>
      <c r="L27" s="5" t="str">
        <f>HYPERLINK("https://www.jtis.cz/download/1/2/9/1/9/KID-WDFEA-2026-02-16.pdf","KID")</f>
        <v>KID</v>
      </c>
    </row>
    <row r="28" spans="1:12" ht="45" x14ac:dyDescent="0.25">
      <c r="A28" s="9" t="s">
        <v>73</v>
      </c>
      <c r="B28" t="s">
        <v>74</v>
      </c>
      <c r="C28" s="7" t="s">
        <v>75</v>
      </c>
      <c r="D28" s="7" t="s">
        <v>76</v>
      </c>
      <c r="E28" s="7" t="s">
        <v>26</v>
      </c>
      <c r="F28" s="7" t="s">
        <v>77</v>
      </c>
      <c r="G28" s="7" t="s">
        <v>14</v>
      </c>
      <c r="H28" s="10" t="s">
        <v>27</v>
      </c>
      <c r="I28" s="11" t="s">
        <v>119</v>
      </c>
      <c r="J28" s="13">
        <v>9.75E-3</v>
      </c>
      <c r="K28" s="7" t="s">
        <v>16</v>
      </c>
      <c r="L28" s="12" t="str">
        <f>HYPERLINK("https://www.jtis.cz/download/1/2/8/1/5/HGFEAKID.pdf","KID")</f>
        <v>KID</v>
      </c>
    </row>
    <row r="29" spans="1:12" s="2" customFormat="1" ht="45" x14ac:dyDescent="0.25">
      <c r="A29" s="6" t="s">
        <v>78</v>
      </c>
      <c r="B29" s="2" t="s">
        <v>79</v>
      </c>
      <c r="C29" s="3" t="s">
        <v>75</v>
      </c>
      <c r="D29" s="3" t="s">
        <v>76</v>
      </c>
      <c r="E29" s="3" t="s">
        <v>26</v>
      </c>
      <c r="F29" s="3" t="s">
        <v>77</v>
      </c>
      <c r="G29" s="3" t="s">
        <v>14</v>
      </c>
      <c r="H29" s="4" t="s">
        <v>27</v>
      </c>
      <c r="I29" s="8" t="s">
        <v>119</v>
      </c>
      <c r="J29" s="14">
        <v>9.75E-3</v>
      </c>
      <c r="K29" s="3" t="s">
        <v>16</v>
      </c>
      <c r="L29" s="5" t="str">
        <f>HYPERLINK("https://www.jtis.cz/download/1/2/7/4/0/HGFCRKID.pdf","KID")</f>
        <v>KID</v>
      </c>
    </row>
    <row r="30" spans="1:12" ht="45" x14ac:dyDescent="0.25">
      <c r="A30" s="9" t="s">
        <v>80</v>
      </c>
      <c r="B30" t="s">
        <v>81</v>
      </c>
      <c r="C30" s="7" t="s">
        <v>75</v>
      </c>
      <c r="D30" s="7" t="s">
        <v>76</v>
      </c>
      <c r="E30" s="7" t="s">
        <v>18</v>
      </c>
      <c r="F30" s="7" t="s">
        <v>77</v>
      </c>
      <c r="G30" s="7" t="s">
        <v>14</v>
      </c>
      <c r="H30" s="10" t="s">
        <v>23</v>
      </c>
      <c r="I30" s="11">
        <v>0</v>
      </c>
      <c r="J30" s="13">
        <v>6.4999999999999997E-3</v>
      </c>
      <c r="K30" s="7" t="s">
        <v>16</v>
      </c>
      <c r="L30" s="12" t="str">
        <f>HYPERLINK("https://www.jtis.cz/download/5/2/8/7/HCZKID.pdf","KID")</f>
        <v>KID</v>
      </c>
    </row>
    <row r="31" spans="1:12" s="2" customFormat="1" ht="45" x14ac:dyDescent="0.25">
      <c r="A31" s="6" t="s">
        <v>82</v>
      </c>
      <c r="B31" s="2" t="s">
        <v>83</v>
      </c>
      <c r="C31" s="3" t="s">
        <v>75</v>
      </c>
      <c r="D31" s="3" t="s">
        <v>76</v>
      </c>
      <c r="E31" s="3" t="s">
        <v>84</v>
      </c>
      <c r="F31" s="3" t="s">
        <v>77</v>
      </c>
      <c r="G31" s="3" t="s">
        <v>14</v>
      </c>
      <c r="H31" s="4" t="s">
        <v>68</v>
      </c>
      <c r="I31" s="8" t="s">
        <v>120</v>
      </c>
      <c r="J31" s="14">
        <v>8.1300000000000001E-3</v>
      </c>
      <c r="K31" s="3" t="s">
        <v>16</v>
      </c>
      <c r="L31" s="5" t="str">
        <f>HYPERLINK("https://www.jtis.cz/download/1/2/3/8/9/GPFKID.pdf","KID")</f>
        <v>KID</v>
      </c>
    </row>
    <row r="32" spans="1:12" ht="45" x14ac:dyDescent="0.25">
      <c r="A32" s="9" t="s">
        <v>85</v>
      </c>
      <c r="B32" t="s">
        <v>86</v>
      </c>
      <c r="C32" s="7" t="s">
        <v>75</v>
      </c>
      <c r="D32" s="7" t="s">
        <v>76</v>
      </c>
      <c r="E32" s="7" t="s">
        <v>84</v>
      </c>
      <c r="F32" s="7" t="s">
        <v>77</v>
      </c>
      <c r="G32" s="7" t="s">
        <v>14</v>
      </c>
      <c r="H32" s="10" t="s">
        <v>27</v>
      </c>
      <c r="I32" s="11" t="s">
        <v>121</v>
      </c>
      <c r="J32" s="13">
        <v>6.4999999999999997E-3</v>
      </c>
      <c r="K32" s="7" t="s">
        <v>16</v>
      </c>
      <c r="L32" s="12" t="str">
        <f>HYPERLINK("https://www.jtis.cz/download/5/8/6/0/NOCKID.pdf","KID")</f>
        <v>KID</v>
      </c>
    </row>
    <row r="33" spans="1:12" s="2" customFormat="1" ht="90" x14ac:dyDescent="0.25">
      <c r="A33" s="6" t="s">
        <v>122</v>
      </c>
      <c r="B33" s="2" t="s">
        <v>124</v>
      </c>
      <c r="C33" s="3" t="s">
        <v>75</v>
      </c>
      <c r="D33" s="3" t="s">
        <v>76</v>
      </c>
      <c r="E33" s="3" t="s">
        <v>26</v>
      </c>
      <c r="F33" s="3" t="s">
        <v>77</v>
      </c>
      <c r="G33" s="3" t="s">
        <v>14</v>
      </c>
      <c r="H33" s="4" t="s">
        <v>68</v>
      </c>
      <c r="I33" s="8" t="s">
        <v>126</v>
      </c>
      <c r="J33" s="14">
        <v>7.1999999999999998E-3</v>
      </c>
      <c r="K33" s="3" t="s">
        <v>16</v>
      </c>
      <c r="L33" s="5" t="str">
        <f>HYPERLINK("https://www.jtis.cz/download/1/3/2/9/2/A2PCAKID.pdf","KID")</f>
        <v>KID</v>
      </c>
    </row>
    <row r="34" spans="1:12" ht="90" x14ac:dyDescent="0.25">
      <c r="A34" s="9" t="s">
        <v>123</v>
      </c>
      <c r="B34" t="s">
        <v>125</v>
      </c>
      <c r="C34" s="7" t="s">
        <v>75</v>
      </c>
      <c r="D34" s="7" t="s">
        <v>76</v>
      </c>
      <c r="E34" s="7" t="s">
        <v>26</v>
      </c>
      <c r="F34" s="7" t="s">
        <v>77</v>
      </c>
      <c r="G34" s="7" t="s">
        <v>14</v>
      </c>
      <c r="H34" s="10" t="s">
        <v>68</v>
      </c>
      <c r="I34" s="11" t="s">
        <v>126</v>
      </c>
      <c r="J34" s="13">
        <v>7.1999999999999998E-3</v>
      </c>
      <c r="K34" s="7" t="s">
        <v>16</v>
      </c>
      <c r="L34" s="12" t="str">
        <f>HYPERLINK("https://www.jtis.cz/download/1/3/2/9/3/A2PEAKID.pdf","KID")</f>
        <v>KID</v>
      </c>
    </row>
    <row r="35" spans="1:12" s="2" customFormat="1" ht="45" x14ac:dyDescent="0.25">
      <c r="A35" s="6" t="s">
        <v>93</v>
      </c>
      <c r="B35" s="2" t="s">
        <v>94</v>
      </c>
      <c r="C35" s="3" t="s">
        <v>11</v>
      </c>
      <c r="D35" s="3" t="s">
        <v>63</v>
      </c>
      <c r="E35" s="3" t="s">
        <v>26</v>
      </c>
      <c r="F35" s="3" t="s">
        <v>77</v>
      </c>
      <c r="G35" s="3" t="s">
        <v>14</v>
      </c>
      <c r="H35" s="4" t="s">
        <v>68</v>
      </c>
      <c r="I35" s="8">
        <v>0</v>
      </c>
      <c r="J35" s="14">
        <v>6.0000000000000001E-3</v>
      </c>
      <c r="K35" s="3" t="s">
        <v>95</v>
      </c>
      <c r="L35" s="5" t="str">
        <f>HYPERLINK("https://www.amundi.com/dl/doc/kid-priips/LU1883872258/ENG/CZE/20250905?inline","KID")</f>
        <v>KID</v>
      </c>
    </row>
    <row r="36" spans="1:12" ht="45" x14ac:dyDescent="0.25">
      <c r="A36" s="9" t="s">
        <v>96</v>
      </c>
      <c r="B36" t="s">
        <v>97</v>
      </c>
      <c r="C36" s="7" t="s">
        <v>11</v>
      </c>
      <c r="D36" s="7" t="s">
        <v>63</v>
      </c>
      <c r="E36" s="7" t="s">
        <v>26</v>
      </c>
      <c r="F36" s="7" t="s">
        <v>77</v>
      </c>
      <c r="G36" s="7" t="s">
        <v>14</v>
      </c>
      <c r="H36" s="10" t="s">
        <v>98</v>
      </c>
      <c r="I36" s="11">
        <v>0</v>
      </c>
      <c r="J36" s="13">
        <v>7.92E-3</v>
      </c>
      <c r="K36" s="7" t="s">
        <v>95</v>
      </c>
      <c r="L36" s="12" t="str">
        <f>HYPERLINK("https://www.amundi.cz/dl/doc/kid-priips/LU1894680591/CES/CZE/20250904?inline","KID")</f>
        <v>KID</v>
      </c>
    </row>
    <row r="37" spans="1:12" s="2" customFormat="1" ht="45" x14ac:dyDescent="0.25">
      <c r="A37" s="6" t="s">
        <v>99</v>
      </c>
      <c r="B37" s="2" t="s">
        <v>100</v>
      </c>
      <c r="C37" s="3" t="s">
        <v>11</v>
      </c>
      <c r="D37" s="3" t="s">
        <v>63</v>
      </c>
      <c r="E37" s="3" t="s">
        <v>26</v>
      </c>
      <c r="F37" s="3" t="s">
        <v>13</v>
      </c>
      <c r="G37" s="3" t="s">
        <v>14</v>
      </c>
      <c r="H37" s="4" t="s">
        <v>68</v>
      </c>
      <c r="I37" s="8">
        <v>0</v>
      </c>
      <c r="J37" s="14">
        <v>7.1999999999999998E-3</v>
      </c>
      <c r="K37" s="3" t="s">
        <v>101</v>
      </c>
      <c r="L37" s="5" t="str">
        <f>HYPERLINK("https://www.priipsdocuments.com/fidelity/docs/EU_PRIIP_KID_Fidelity%20Funds%20-%20World%20Fund%20A-ACC-CZK%20(hedged)_STRD_cs_LU1400167216.pdf","KID")</f>
        <v>KID</v>
      </c>
    </row>
    <row r="38" spans="1:12" ht="45" x14ac:dyDescent="0.25">
      <c r="A38" s="9" t="s">
        <v>102</v>
      </c>
      <c r="B38" t="s">
        <v>103</v>
      </c>
      <c r="C38" s="7" t="s">
        <v>11</v>
      </c>
      <c r="D38" s="7" t="s">
        <v>63</v>
      </c>
      <c r="E38" s="7" t="s">
        <v>26</v>
      </c>
      <c r="F38" s="7" t="s">
        <v>13</v>
      </c>
      <c r="G38" s="7" t="s">
        <v>14</v>
      </c>
      <c r="H38" s="10" t="s">
        <v>68</v>
      </c>
      <c r="I38" s="11">
        <v>0</v>
      </c>
      <c r="J38" s="13">
        <v>7.1999999999999998E-3</v>
      </c>
      <c r="K38" s="7" t="s">
        <v>101</v>
      </c>
      <c r="L38" s="12" t="str">
        <f>HYPERLINK("https://www.priipsdocuments.com/fidelity/docs/EU_PRIIP_KID_Fidelity%20Funds%20-%20Global%20Dividend%20Fund%20Svetovych%20dividend%20A-ACC-CZK(hdg)_STRD_cs_LU0979392924.pdf","KID")</f>
        <v>KID</v>
      </c>
    </row>
    <row r="39" spans="1:12" s="2" customFormat="1" ht="45" x14ac:dyDescent="0.25">
      <c r="A39" s="6" t="s">
        <v>104</v>
      </c>
      <c r="B39" s="2" t="s">
        <v>105</v>
      </c>
      <c r="C39" s="3" t="s">
        <v>11</v>
      </c>
      <c r="D39" s="3" t="s">
        <v>63</v>
      </c>
      <c r="E39" s="3" t="s">
        <v>26</v>
      </c>
      <c r="F39" s="3" t="s">
        <v>13</v>
      </c>
      <c r="G39" s="3" t="s">
        <v>14</v>
      </c>
      <c r="H39" s="4" t="s">
        <v>68</v>
      </c>
      <c r="I39" s="8">
        <v>0</v>
      </c>
      <c r="J39" s="14">
        <v>9.5999999999999992E-3</v>
      </c>
      <c r="K39" s="3" t="s">
        <v>106</v>
      </c>
      <c r="L39" s="5" t="str">
        <f>HYPERLINK("https://www.conseq.cz/Conseq/Document.ashx?file=LU1542713687-KIID-CZE-CS","KID")</f>
        <v>KID</v>
      </c>
    </row>
    <row r="40" spans="1:12" ht="45" x14ac:dyDescent="0.25">
      <c r="A40" s="9" t="s">
        <v>107</v>
      </c>
      <c r="B40" t="s">
        <v>108</v>
      </c>
      <c r="C40" s="7" t="s">
        <v>11</v>
      </c>
      <c r="D40" s="7" t="s">
        <v>63</v>
      </c>
      <c r="E40" s="7" t="s">
        <v>26</v>
      </c>
      <c r="F40" s="7" t="s">
        <v>77</v>
      </c>
      <c r="G40" s="7" t="s">
        <v>14</v>
      </c>
      <c r="H40" s="10" t="s">
        <v>68</v>
      </c>
      <c r="I40" s="11">
        <v>0</v>
      </c>
      <c r="J40" s="13">
        <v>7.1999999999999998E-3</v>
      </c>
      <c r="K40" s="7" t="s">
        <v>109</v>
      </c>
      <c r="L40" s="12" t="str">
        <f>HYPERLINK("https://www.franklintempleton.cz/download/cs-cz/key-information-document/1f4949b6-11a6-4c5a-a408-2273c637b13f/PRIIPSEU_LU2125249990_cs_CZ.pdf","KID")</f>
        <v>KID</v>
      </c>
    </row>
    <row r="41" spans="1:12" s="2" customFormat="1" ht="45" x14ac:dyDescent="0.25">
      <c r="A41" s="6" t="s">
        <v>110</v>
      </c>
      <c r="B41" s="2" t="s">
        <v>111</v>
      </c>
      <c r="C41" s="3" t="s">
        <v>11</v>
      </c>
      <c r="D41" s="3" t="s">
        <v>63</v>
      </c>
      <c r="E41" s="3" t="s">
        <v>26</v>
      </c>
      <c r="F41" s="3" t="s">
        <v>13</v>
      </c>
      <c r="G41" s="3" t="s">
        <v>14</v>
      </c>
      <c r="H41" s="4" t="s">
        <v>68</v>
      </c>
      <c r="I41" s="8">
        <v>0</v>
      </c>
      <c r="J41" s="14">
        <v>8.6400000000000001E-3</v>
      </c>
      <c r="K41" s="3" t="s">
        <v>106</v>
      </c>
      <c r="L41" s="5" t="str">
        <f>HYPERLINK("https://www.conseq.cz/Conseq/Document.ashx?file=LU0405488825-KIID-CZE-CS","KID")</f>
        <v>KID</v>
      </c>
    </row>
    <row r="42" spans="1:12" ht="45" x14ac:dyDescent="0.25">
      <c r="A42" s="9" t="s">
        <v>112</v>
      </c>
      <c r="B42" t="s">
        <v>113</v>
      </c>
      <c r="C42" s="7" t="s">
        <v>11</v>
      </c>
      <c r="D42" s="7" t="s">
        <v>63</v>
      </c>
      <c r="E42" s="7" t="s">
        <v>26</v>
      </c>
      <c r="F42" s="7" t="s">
        <v>13</v>
      </c>
      <c r="G42" s="7" t="s">
        <v>14</v>
      </c>
      <c r="H42" s="10" t="s">
        <v>68</v>
      </c>
      <c r="I42" s="11">
        <v>0</v>
      </c>
      <c r="J42" s="13">
        <v>7.1999999999999998E-3</v>
      </c>
      <c r="K42" s="7" t="s">
        <v>101</v>
      </c>
      <c r="L42" s="12" t="str">
        <f>HYPERLINK("https://www.priipsdocuments.com/fidelity/docs/EU_PRIIP_KID_Fidelity%20Funds%20-%20World%20Fund%20A-ACC-CZK_STRD_cs_LU1756523376.pdf","KID")</f>
        <v>KID</v>
      </c>
    </row>
    <row r="43" spans="1:12" s="2" customFormat="1" ht="45" x14ac:dyDescent="0.25">
      <c r="A43" s="6" t="s">
        <v>114</v>
      </c>
      <c r="B43" s="2" t="s">
        <v>115</v>
      </c>
      <c r="C43" s="3" t="s">
        <v>11</v>
      </c>
      <c r="D43" s="3" t="s">
        <v>63</v>
      </c>
      <c r="E43" s="3" t="s">
        <v>26</v>
      </c>
      <c r="F43" s="3" t="s">
        <v>13</v>
      </c>
      <c r="G43" s="3" t="s">
        <v>14</v>
      </c>
      <c r="H43" s="4" t="s">
        <v>68</v>
      </c>
      <c r="I43" s="8">
        <v>0</v>
      </c>
      <c r="J43" s="14">
        <v>9.5999999999999992E-3</v>
      </c>
      <c r="K43" s="3" t="s">
        <v>106</v>
      </c>
      <c r="L43" s="5" t="str">
        <f>HYPERLINK("https://www.conseq.cz/Conseq/Document.ashx?file=LU0082087353-KIID-CZE-CS","KID")</f>
        <v>KID</v>
      </c>
    </row>
    <row r="44" spans="1:12" ht="45" x14ac:dyDescent="0.25">
      <c r="A44" s="9" t="s">
        <v>116</v>
      </c>
      <c r="B44" t="s">
        <v>117</v>
      </c>
      <c r="C44" s="7" t="s">
        <v>11</v>
      </c>
      <c r="D44" s="7" t="s">
        <v>63</v>
      </c>
      <c r="E44" s="7" t="s">
        <v>26</v>
      </c>
      <c r="F44" s="7" t="s">
        <v>13</v>
      </c>
      <c r="G44" s="7" t="s">
        <v>14</v>
      </c>
      <c r="H44" s="10" t="s">
        <v>68</v>
      </c>
      <c r="I44" s="11">
        <v>0</v>
      </c>
      <c r="J44" s="13">
        <v>7.1999999999999998E-3</v>
      </c>
      <c r="K44" s="7" t="s">
        <v>101</v>
      </c>
      <c r="L44" s="12" t="str">
        <f>HYPERLINK("https://www.priipsdocuments.com/fidelity/docs/EU_PRIIP_KID_Fidelity%20Funds%20-%20Global%20Technology%20Fund%20A-ACC-CZK%20(hedged)_STRD_cs_LU2807456855.pdf","KID")</f>
        <v>KID</v>
      </c>
    </row>
    <row r="45" spans="1:12" s="2" customFormat="1" ht="45" x14ac:dyDescent="0.25">
      <c r="A45" s="6" t="s">
        <v>127</v>
      </c>
      <c r="B45" s="2" t="s">
        <v>128</v>
      </c>
      <c r="C45" s="3" t="s">
        <v>11</v>
      </c>
      <c r="D45" s="3" t="s">
        <v>63</v>
      </c>
      <c r="E45" s="3" t="s">
        <v>26</v>
      </c>
      <c r="F45" s="3" t="s">
        <v>77</v>
      </c>
      <c r="G45" s="3" t="s">
        <v>14</v>
      </c>
      <c r="H45" s="4" t="s">
        <v>68</v>
      </c>
      <c r="I45" s="8">
        <v>0</v>
      </c>
      <c r="J45" s="14">
        <v>7.1999999999999998E-3</v>
      </c>
      <c r="K45" s="3" t="s">
        <v>95</v>
      </c>
      <c r="L45" s="5" t="str">
        <f>HYPERLINK("https://www.amundi.cz/dl/doc/kid-priips/LU1883868736/CES/CZE/20250701?inline","KID")</f>
        <v>KID</v>
      </c>
    </row>
    <row r="46" spans="1:12" ht="45" x14ac:dyDescent="0.25">
      <c r="A46" s="9" t="s">
        <v>129</v>
      </c>
      <c r="B46" t="s">
        <v>130</v>
      </c>
      <c r="C46" s="7" t="s">
        <v>11</v>
      </c>
      <c r="D46" s="7" t="s">
        <v>63</v>
      </c>
      <c r="E46" s="7" t="s">
        <v>131</v>
      </c>
      <c r="F46" s="7" t="s">
        <v>77</v>
      </c>
      <c r="G46" s="7" t="s">
        <v>14</v>
      </c>
      <c r="H46" s="10" t="s">
        <v>27</v>
      </c>
      <c r="I46" s="11">
        <v>0</v>
      </c>
      <c r="J46" s="13">
        <v>5.7600000000000004E-3</v>
      </c>
      <c r="K46" s="7" t="s">
        <v>95</v>
      </c>
      <c r="L46" s="12" t="str">
        <f>HYPERLINK("https://www.amundi.lu/dl/doc/kid-priips/LU1121646696/ENG/LUX/20250701?inline","KID")</f>
        <v>KID</v>
      </c>
    </row>
    <row r="47" spans="1:12" s="2" customFormat="1" ht="45" x14ac:dyDescent="0.25">
      <c r="A47" s="6" t="s">
        <v>132</v>
      </c>
      <c r="B47" s="2" t="s">
        <v>133</v>
      </c>
      <c r="C47" s="3" t="s">
        <v>11</v>
      </c>
      <c r="D47" s="3" t="s">
        <v>63</v>
      </c>
      <c r="E47" s="3" t="s">
        <v>26</v>
      </c>
      <c r="F47" s="3" t="s">
        <v>77</v>
      </c>
      <c r="G47" s="3" t="s">
        <v>14</v>
      </c>
      <c r="H47" s="4" t="s">
        <v>27</v>
      </c>
      <c r="I47" s="8">
        <v>0</v>
      </c>
      <c r="J47" s="14">
        <v>8.1600000000000006E-3</v>
      </c>
      <c r="K47" s="3" t="s">
        <v>95</v>
      </c>
      <c r="L47" s="5" t="str">
        <f>HYPERLINK("https://www.amundi.cz/dl/doc/kid-priips/LU2716742528/CES/CZE/20250905?inline","KID")</f>
        <v>KID</v>
      </c>
    </row>
    <row r="48" spans="1:12" ht="45" x14ac:dyDescent="0.25">
      <c r="A48" s="9" t="s">
        <v>134</v>
      </c>
      <c r="B48" t="s">
        <v>135</v>
      </c>
      <c r="C48" s="7" t="s">
        <v>11</v>
      </c>
      <c r="D48" s="7" t="s">
        <v>63</v>
      </c>
      <c r="E48" s="7" t="s">
        <v>26</v>
      </c>
      <c r="F48" s="7" t="s">
        <v>13</v>
      </c>
      <c r="G48" s="7" t="s">
        <v>14</v>
      </c>
      <c r="H48" s="10" t="s">
        <v>68</v>
      </c>
      <c r="I48" s="11">
        <v>0</v>
      </c>
      <c r="J48" s="13">
        <v>8.6400000000000001E-3</v>
      </c>
      <c r="K48" s="7" t="s">
        <v>106</v>
      </c>
      <c r="L48" s="12" t="str">
        <f>HYPERLINK("https://www.conseq.cz/Conseq/Document.ashx?file=LU0405488742-KIID-CZE-CS","KID")</f>
        <v>KID</v>
      </c>
    </row>
    <row r="49" spans="1:12" s="2" customFormat="1" ht="45" x14ac:dyDescent="0.25">
      <c r="A49" s="6" t="s">
        <v>136</v>
      </c>
      <c r="B49" s="2" t="s">
        <v>137</v>
      </c>
      <c r="C49" s="3" t="s">
        <v>11</v>
      </c>
      <c r="D49" s="3" t="s">
        <v>63</v>
      </c>
      <c r="E49" s="3" t="s">
        <v>26</v>
      </c>
      <c r="F49" s="3" t="s">
        <v>13</v>
      </c>
      <c r="G49" s="3" t="s">
        <v>14</v>
      </c>
      <c r="H49" s="4" t="s">
        <v>68</v>
      </c>
      <c r="I49" s="8">
        <v>0</v>
      </c>
      <c r="J49" s="14">
        <v>9.5999999999999992E-3</v>
      </c>
      <c r="K49" s="3" t="s">
        <v>106</v>
      </c>
      <c r="L49" s="5" t="str">
        <f>HYPERLINK("https://www.conseq.cz/Conseq/Document.ashx?file=LU0405489047-KIID-CZE-CS","KID")</f>
        <v>KID</v>
      </c>
    </row>
    <row r="50" spans="1:12" ht="45" x14ac:dyDescent="0.25">
      <c r="A50" s="9" t="s">
        <v>138</v>
      </c>
      <c r="B50" t="s">
        <v>139</v>
      </c>
      <c r="C50" s="7" t="s">
        <v>11</v>
      </c>
      <c r="D50" s="7" t="s">
        <v>63</v>
      </c>
      <c r="E50" s="7" t="s">
        <v>26</v>
      </c>
      <c r="F50" s="7" t="s">
        <v>77</v>
      </c>
      <c r="G50" s="7" t="s">
        <v>14</v>
      </c>
      <c r="H50" s="10" t="s">
        <v>98</v>
      </c>
      <c r="I50" s="11">
        <v>0</v>
      </c>
      <c r="J50" s="13">
        <v>8.8800000000000007E-3</v>
      </c>
      <c r="K50" s="7" t="s">
        <v>109</v>
      </c>
      <c r="L50" s="12" t="str">
        <f>HYPERLINK("https://www.franklintempleton.cz/download/cs-cz/key-information-document/7a3a8cbc-6b2f-475f-bfc4-4fc77f13e575/PRIIPSEU_LU0768356247_cs_CZ.pdf","KID")</f>
        <v>KID</v>
      </c>
    </row>
    <row r="51" spans="1:12" s="2" customFormat="1" ht="45" x14ac:dyDescent="0.25">
      <c r="A51" s="6" t="s">
        <v>140</v>
      </c>
      <c r="B51" s="2" t="s">
        <v>141</v>
      </c>
      <c r="C51" s="3" t="s">
        <v>11</v>
      </c>
      <c r="D51" s="3" t="s">
        <v>63</v>
      </c>
      <c r="E51" s="3" t="s">
        <v>26</v>
      </c>
      <c r="F51" s="3" t="s">
        <v>13</v>
      </c>
      <c r="G51" s="3" t="s">
        <v>14</v>
      </c>
      <c r="H51" s="4" t="s">
        <v>98</v>
      </c>
      <c r="I51" s="8">
        <v>0</v>
      </c>
      <c r="J51" s="14">
        <v>9.5999999999999992E-3</v>
      </c>
      <c r="K51" s="3" t="s">
        <v>106</v>
      </c>
      <c r="L51" s="5" t="str">
        <f>HYPERLINK("https://www.conseq.cz/Conseq/Document.ashx?file=LU0799821219-KIID-CZE-CS","KID")</f>
        <v>KID</v>
      </c>
    </row>
    <row r="52" spans="1:12" ht="45" x14ac:dyDescent="0.25">
      <c r="A52" s="9" t="s">
        <v>142</v>
      </c>
      <c r="B52" t="s">
        <v>143</v>
      </c>
      <c r="C52" s="7" t="s">
        <v>11</v>
      </c>
      <c r="D52" s="7" t="s">
        <v>63</v>
      </c>
      <c r="E52" s="7" t="s">
        <v>26</v>
      </c>
      <c r="F52" s="7" t="s">
        <v>13</v>
      </c>
      <c r="G52" s="7" t="s">
        <v>14</v>
      </c>
      <c r="H52" s="10" t="s">
        <v>27</v>
      </c>
      <c r="I52" s="11">
        <v>0</v>
      </c>
      <c r="J52" s="13">
        <v>4.7999999999999996E-3</v>
      </c>
      <c r="K52" s="7" t="s">
        <v>101</v>
      </c>
      <c r="L52" s="12" t="str">
        <f>HYPERLINK("https://www.priipsdocuments.com/fidelity/docs/EU_PRIIP_KID_Fidelity%20Funds%20-%20Global%20High%20Yield%20Fund%20Svet.%20dluhopisu%20s%20vysokym%20vynosem%20A-ACC-CZK(hdg)_STRD_cs_LU1114574418.pdf","KID")</f>
        <v>KID</v>
      </c>
    </row>
    <row r="53" spans="1:12" s="2" customFormat="1" ht="45" x14ac:dyDescent="0.25">
      <c r="A53" s="6" t="s">
        <v>144</v>
      </c>
      <c r="B53" s="2" t="s">
        <v>145</v>
      </c>
      <c r="C53" s="3" t="s">
        <v>11</v>
      </c>
      <c r="D53" s="3" t="s">
        <v>63</v>
      </c>
      <c r="E53" s="3" t="s">
        <v>26</v>
      </c>
      <c r="F53" s="3" t="s">
        <v>13</v>
      </c>
      <c r="G53" s="3" t="s">
        <v>14</v>
      </c>
      <c r="H53" s="4" t="s">
        <v>68</v>
      </c>
      <c r="I53" s="8">
        <v>0</v>
      </c>
      <c r="J53" s="14">
        <v>8.6400000000000001E-3</v>
      </c>
      <c r="K53" s="3" t="s">
        <v>106</v>
      </c>
      <c r="L53" s="5" t="str">
        <f>HYPERLINK("https://www.conseq.cz/Conseq/Document.ashx?file=LU0429745879-KIID-CZE-CS","KID")</f>
        <v>KID</v>
      </c>
    </row>
    <row r="54" spans="1:12" ht="45" x14ac:dyDescent="0.25">
      <c r="A54" s="9" t="s">
        <v>146</v>
      </c>
      <c r="B54" t="s">
        <v>147</v>
      </c>
      <c r="C54" s="7" t="s">
        <v>11</v>
      </c>
      <c r="D54" s="7" t="s">
        <v>63</v>
      </c>
      <c r="E54" s="7" t="s">
        <v>26</v>
      </c>
      <c r="F54" s="7" t="s">
        <v>77</v>
      </c>
      <c r="G54" s="7" t="s">
        <v>14</v>
      </c>
      <c r="H54" s="10" t="s">
        <v>68</v>
      </c>
      <c r="I54" s="11">
        <v>0</v>
      </c>
      <c r="J54" s="13">
        <v>7.1999999999999998E-3</v>
      </c>
      <c r="K54" s="7" t="s">
        <v>109</v>
      </c>
      <c r="L54" s="12" t="str">
        <f>HYPERLINK("https://www.franklintempleton.cz/download/cs-cz/key-information-document/aa92a273-932b-4e30-bb02-962bb880830a/PRIIPSEU_LU0768356080_cs_CZ.pdf","KID")</f>
        <v>KID</v>
      </c>
    </row>
    <row r="55" spans="1:12" s="2" customFormat="1" ht="45" x14ac:dyDescent="0.25">
      <c r="A55" s="6" t="s">
        <v>148</v>
      </c>
      <c r="B55" s="2" t="s">
        <v>149</v>
      </c>
      <c r="C55" s="3" t="s">
        <v>11</v>
      </c>
      <c r="D55" s="3" t="s">
        <v>63</v>
      </c>
      <c r="E55" s="3" t="s">
        <v>26</v>
      </c>
      <c r="F55" s="3" t="s">
        <v>77</v>
      </c>
      <c r="G55" s="3" t="s">
        <v>14</v>
      </c>
      <c r="H55" s="4" t="s">
        <v>98</v>
      </c>
      <c r="I55" s="8">
        <v>0</v>
      </c>
      <c r="J55" s="14">
        <v>7.1999999999999998E-3</v>
      </c>
      <c r="K55" s="3" t="s">
        <v>95</v>
      </c>
      <c r="L55" s="5" t="str">
        <f>HYPERLINK("https://www.amundi.cz/dl/doc/kid-priips/LU1883854199/CES/CZE/20250905?inline","KID")</f>
        <v>KID</v>
      </c>
    </row>
    <row r="56" spans="1:12" ht="45" x14ac:dyDescent="0.25">
      <c r="A56" s="9" t="s">
        <v>150</v>
      </c>
      <c r="B56" t="s">
        <v>151</v>
      </c>
      <c r="C56" s="7" t="s">
        <v>11</v>
      </c>
      <c r="D56" s="7" t="s">
        <v>63</v>
      </c>
      <c r="E56" s="7" t="s">
        <v>26</v>
      </c>
      <c r="F56" s="7" t="s">
        <v>77</v>
      </c>
      <c r="G56" s="7" t="s">
        <v>14</v>
      </c>
      <c r="H56" s="10" t="s">
        <v>98</v>
      </c>
      <c r="I56" s="11">
        <v>0</v>
      </c>
      <c r="J56" s="13">
        <v>6.0000000000000001E-3</v>
      </c>
      <c r="K56" s="7" t="s">
        <v>95</v>
      </c>
      <c r="L56" s="12" t="str">
        <f>HYPERLINK("https://www.amundi.com/dl/doc/kid-priips/LU1883872332/ENG/CZE/20250905?inline","KID")</f>
        <v>KID</v>
      </c>
    </row>
    <row r="57" spans="1:12" s="2" customFormat="1" ht="45" x14ac:dyDescent="0.25">
      <c r="A57" s="6" t="s">
        <v>152</v>
      </c>
      <c r="B57" s="2" t="s">
        <v>153</v>
      </c>
      <c r="C57" s="3" t="s">
        <v>11</v>
      </c>
      <c r="D57" s="3" t="s">
        <v>63</v>
      </c>
      <c r="E57" s="3" t="s">
        <v>26</v>
      </c>
      <c r="F57" s="3" t="s">
        <v>13</v>
      </c>
      <c r="G57" s="3" t="s">
        <v>14</v>
      </c>
      <c r="H57" s="4" t="s">
        <v>68</v>
      </c>
      <c r="I57" s="8">
        <v>0</v>
      </c>
      <c r="J57" s="14">
        <v>7.1999999999999998E-3</v>
      </c>
      <c r="K57" s="3" t="s">
        <v>101</v>
      </c>
      <c r="L57" s="5" t="str">
        <f>HYPERLINK("https://www.fidelityinternational.com/FDS/KIID/FF/cs/FF-Global Dividend Fund A-ACC-Euro (hedged)_strd_cs_LU0605515377.pdf","KID")</f>
        <v>KID</v>
      </c>
    </row>
    <row r="58" spans="1:12" ht="45" x14ac:dyDescent="0.25">
      <c r="A58" s="9" t="s">
        <v>154</v>
      </c>
      <c r="B58" t="s">
        <v>155</v>
      </c>
      <c r="C58" s="7" t="s">
        <v>11</v>
      </c>
      <c r="D58" s="7" t="s">
        <v>63</v>
      </c>
      <c r="E58" s="7" t="s">
        <v>26</v>
      </c>
      <c r="F58" s="7" t="s">
        <v>77</v>
      </c>
      <c r="G58" s="7" t="s">
        <v>14</v>
      </c>
      <c r="H58" s="10" t="s">
        <v>98</v>
      </c>
      <c r="I58" s="11">
        <v>0</v>
      </c>
      <c r="J58" s="13">
        <v>7.1999999999999998E-3</v>
      </c>
      <c r="K58" s="7" t="s">
        <v>109</v>
      </c>
      <c r="L58" s="12" t="str">
        <f>HYPERLINK("https://www.franklintempleton.cz/download/cs-cz/key-information-document/e29341e9-151e-44b1-9521-562e4966d057/PRIIPSEU_LU0260870158_cs_CZ.pdf","KID")</f>
        <v>KID</v>
      </c>
    </row>
    <row r="59" spans="1:12" s="2" customFormat="1" ht="45" x14ac:dyDescent="0.25">
      <c r="A59" s="6" t="s">
        <v>156</v>
      </c>
      <c r="B59" s="2" t="s">
        <v>157</v>
      </c>
      <c r="C59" s="3" t="s">
        <v>11</v>
      </c>
      <c r="D59" s="3" t="s">
        <v>63</v>
      </c>
      <c r="E59" s="3" t="s">
        <v>26</v>
      </c>
      <c r="F59" s="3" t="s">
        <v>77</v>
      </c>
      <c r="G59" s="3" t="s">
        <v>14</v>
      </c>
      <c r="H59" s="4" t="s">
        <v>98</v>
      </c>
      <c r="I59" s="8">
        <v>0</v>
      </c>
      <c r="J59" s="14">
        <v>7.1999999999999998E-3</v>
      </c>
      <c r="K59" s="3" t="s">
        <v>109</v>
      </c>
      <c r="L59" s="5" t="str">
        <f>HYPERLINK("https://www.franklintempleton.cz/download/cs-cz/key-information-document/9f9633ea-e012-4e5b-a631-9fcb013379fe/PRIIPSEU_LU0231205187_cs_CZ.pdf","KID")</f>
        <v>KID</v>
      </c>
    </row>
    <row r="60" spans="1:12" ht="45" x14ac:dyDescent="0.25">
      <c r="A60" s="9" t="s">
        <v>158</v>
      </c>
      <c r="B60" t="s">
        <v>159</v>
      </c>
      <c r="C60" s="7" t="s">
        <v>11</v>
      </c>
      <c r="D60" s="7" t="s">
        <v>63</v>
      </c>
      <c r="E60" s="7" t="s">
        <v>26</v>
      </c>
      <c r="F60" s="7" t="s">
        <v>13</v>
      </c>
      <c r="G60" s="7" t="s">
        <v>14</v>
      </c>
      <c r="H60" s="10" t="s">
        <v>68</v>
      </c>
      <c r="I60" s="11">
        <v>0</v>
      </c>
      <c r="J60" s="13">
        <v>7.1999999999999998E-3</v>
      </c>
      <c r="K60" s="7" t="s">
        <v>106</v>
      </c>
      <c r="L60" s="12" t="str">
        <f>HYPERLINK("https://czfondy.gs.com/o/nnirest/documents/newestFundDocument?isin=LU0119216553&amp;lan=cz&amp;type=pro_s&amp;web=cz","KID")</f>
        <v>KID</v>
      </c>
    </row>
    <row r="61" spans="1:12" s="2" customFormat="1" ht="45" x14ac:dyDescent="0.25">
      <c r="A61" s="6" t="s">
        <v>160</v>
      </c>
      <c r="B61" s="2" t="s">
        <v>161</v>
      </c>
      <c r="C61" s="3" t="s">
        <v>11</v>
      </c>
      <c r="D61" s="3" t="s">
        <v>63</v>
      </c>
      <c r="E61" s="3" t="s">
        <v>26</v>
      </c>
      <c r="F61" s="3" t="s">
        <v>13</v>
      </c>
      <c r="G61" s="3" t="s">
        <v>14</v>
      </c>
      <c r="H61" s="4" t="s">
        <v>68</v>
      </c>
      <c r="I61" s="8">
        <v>0</v>
      </c>
      <c r="J61" s="14">
        <v>7.1999999999999998E-3</v>
      </c>
      <c r="K61" s="3" t="s">
        <v>101</v>
      </c>
      <c r="L61" s="5" t="str">
        <f>HYPERLINK("https://www.conseq.cz/Conseq/Document.ashx?file=LU1261432659-KIID-CZE-CS","KID")</f>
        <v>KID</v>
      </c>
    </row>
    <row r="62" spans="1:12" ht="45" x14ac:dyDescent="0.25">
      <c r="A62" s="9" t="s">
        <v>162</v>
      </c>
      <c r="B62" t="s">
        <v>163</v>
      </c>
      <c r="C62" s="7" t="s">
        <v>11</v>
      </c>
      <c r="D62" s="7" t="s">
        <v>63</v>
      </c>
      <c r="E62" s="7" t="s">
        <v>26</v>
      </c>
      <c r="F62" s="7" t="s">
        <v>13</v>
      </c>
      <c r="G62" s="7" t="s">
        <v>14</v>
      </c>
      <c r="H62" s="10" t="s">
        <v>98</v>
      </c>
      <c r="I62" s="11">
        <v>0</v>
      </c>
      <c r="J62" s="13">
        <v>7.1999999999999998E-3</v>
      </c>
      <c r="K62" s="7" t="s">
        <v>101</v>
      </c>
      <c r="L62" s="12" t="str">
        <f>HYPERLINK("www.fidelityinternational.com/FDS/KIID/FF/cs/FF-China%20Opportunities%20Fund%20A-ACC-Euro_strd_cs_LU0455706654.pdf","KID")</f>
        <v>KID</v>
      </c>
    </row>
    <row r="63" spans="1:12" s="2" customFormat="1" ht="45" x14ac:dyDescent="0.25">
      <c r="A63" s="6" t="s">
        <v>164</v>
      </c>
      <c r="B63" s="2" t="s">
        <v>165</v>
      </c>
      <c r="C63" s="3" t="s">
        <v>11</v>
      </c>
      <c r="D63" s="3" t="s">
        <v>63</v>
      </c>
      <c r="E63" s="3" t="s">
        <v>26</v>
      </c>
      <c r="F63" s="3" t="s">
        <v>13</v>
      </c>
      <c r="G63" s="3" t="s">
        <v>14</v>
      </c>
      <c r="H63" s="4" t="s">
        <v>98</v>
      </c>
      <c r="I63" s="8">
        <v>0</v>
      </c>
      <c r="J63" s="14">
        <v>7.1999999999999998E-3</v>
      </c>
      <c r="K63" s="3" t="s">
        <v>101</v>
      </c>
      <c r="L63" s="5" t="str">
        <f>HYPERLINK("https://www.fidelityinternational.com/FDS/KIID/FF/cs/FF-Germany Fund A-ACC-Euro_strd_cs_LU0261948227.pdf","KID")</f>
        <v>KID</v>
      </c>
    </row>
    <row r="64" spans="1:12" ht="45" x14ac:dyDescent="0.25">
      <c r="A64" s="9" t="s">
        <v>166</v>
      </c>
      <c r="B64" t="s">
        <v>167</v>
      </c>
      <c r="C64" s="7" t="s">
        <v>11</v>
      </c>
      <c r="D64" s="7" t="s">
        <v>63</v>
      </c>
      <c r="E64" s="7" t="s">
        <v>26</v>
      </c>
      <c r="F64" s="7" t="s">
        <v>13</v>
      </c>
      <c r="G64" s="7" t="s">
        <v>14</v>
      </c>
      <c r="H64" s="10" t="s">
        <v>68</v>
      </c>
      <c r="I64" s="11">
        <v>0</v>
      </c>
      <c r="J64" s="13">
        <v>8.6399999999999984E-3</v>
      </c>
      <c r="K64" s="7" t="s">
        <v>106</v>
      </c>
      <c r="L64" s="12" t="str">
        <f>HYPERLINK("https://czfondy.gs.com/o/nnirest/documents/newestFundDocument?isin=LU0113307978&amp;lan=cz&amp;type=pro_s&amp;web=cz","KID")</f>
        <v>KID</v>
      </c>
    </row>
    <row r="65" spans="1:12" s="2" customFormat="1" ht="45" x14ac:dyDescent="0.25">
      <c r="A65" s="6" t="s">
        <v>168</v>
      </c>
      <c r="B65" s="2" t="s">
        <v>169</v>
      </c>
      <c r="C65" s="3" t="s">
        <v>11</v>
      </c>
      <c r="D65" s="3" t="s">
        <v>63</v>
      </c>
      <c r="E65" s="3" t="s">
        <v>26</v>
      </c>
      <c r="F65" s="3" t="s">
        <v>77</v>
      </c>
      <c r="G65" s="3" t="s">
        <v>14</v>
      </c>
      <c r="H65" s="4" t="s">
        <v>68</v>
      </c>
      <c r="I65" s="8">
        <v>0</v>
      </c>
      <c r="J65" s="14">
        <v>6.0000000000000001E-3</v>
      </c>
      <c r="K65" s="3" t="s">
        <v>95</v>
      </c>
      <c r="L65" s="5" t="str">
        <f>HYPERLINK("https://www.amundi.com/dl/doc/kid-priips/LU1883872415/ENG/CZE/20250905?inline","KID")</f>
        <v>KID</v>
      </c>
    </row>
    <row r="66" spans="1:12" ht="45" x14ac:dyDescent="0.25">
      <c r="A66" s="9" t="s">
        <v>170</v>
      </c>
      <c r="B66" t="s">
        <v>171</v>
      </c>
      <c r="C66" s="7" t="s">
        <v>11</v>
      </c>
      <c r="D66" s="7" t="s">
        <v>63</v>
      </c>
      <c r="E66" s="7" t="s">
        <v>22</v>
      </c>
      <c r="F66" s="7" t="s">
        <v>13</v>
      </c>
      <c r="G66" s="7" t="s">
        <v>14</v>
      </c>
      <c r="H66" s="10" t="s">
        <v>19</v>
      </c>
      <c r="I66" s="11">
        <v>0</v>
      </c>
      <c r="J66" s="13">
        <v>2.4000000000000002E-3</v>
      </c>
      <c r="K66" s="7" t="s">
        <v>95</v>
      </c>
      <c r="L66" s="12" t="str">
        <f>HYPERLINK("https://www.amundi.cz/dl/doc/kid-priips/LU1882441907/CES/CZE/20241206?inline","KID")</f>
        <v>KID</v>
      </c>
    </row>
    <row r="67" spans="1:12" s="2" customFormat="1" ht="45" x14ac:dyDescent="0.25">
      <c r="A67" s="6" t="s">
        <v>172</v>
      </c>
      <c r="B67" s="2" t="s">
        <v>173</v>
      </c>
      <c r="C67" s="3" t="s">
        <v>11</v>
      </c>
      <c r="D67" s="3" t="s">
        <v>63</v>
      </c>
      <c r="E67" s="3" t="s">
        <v>26</v>
      </c>
      <c r="F67" s="3" t="s">
        <v>77</v>
      </c>
      <c r="G67" s="3" t="s">
        <v>14</v>
      </c>
      <c r="H67" s="4" t="s">
        <v>68</v>
      </c>
      <c r="I67" s="8">
        <v>0</v>
      </c>
      <c r="J67" s="14">
        <v>7.1999999999999998E-3</v>
      </c>
      <c r="K67" s="3" t="s">
        <v>95</v>
      </c>
      <c r="L67" s="5" t="str">
        <f>HYPERLINK("https://www.amundi.com/dl/doc/kid-priips/LU1883854355/ENG/CZE/20250905?inline","KID")</f>
        <v>KID</v>
      </c>
    </row>
    <row r="68" spans="1:12" ht="45" x14ac:dyDescent="0.25">
      <c r="A68" s="9" t="s">
        <v>174</v>
      </c>
      <c r="B68" t="s">
        <v>175</v>
      </c>
      <c r="C68" s="7" t="s">
        <v>11</v>
      </c>
      <c r="D68" s="7" t="s">
        <v>63</v>
      </c>
      <c r="E68" s="7" t="s">
        <v>26</v>
      </c>
      <c r="F68" s="7" t="s">
        <v>77</v>
      </c>
      <c r="G68" s="7" t="s">
        <v>14</v>
      </c>
      <c r="H68" s="10" t="s">
        <v>98</v>
      </c>
      <c r="I68" s="11">
        <v>0</v>
      </c>
      <c r="J68" s="13">
        <v>7.1999999999999998E-3</v>
      </c>
      <c r="K68" s="7" t="s">
        <v>109</v>
      </c>
      <c r="L68" s="12" t="str">
        <f>HYPERLINK("https://www.franklintempleton.cz/download/cs-cz/key-information-document/aa66ea45-892e-4448-a9ca-37c9611cd3ff/PRIIPSEU_LU0109392836_cs_CZ.pdf","KID")</f>
        <v>KID</v>
      </c>
    </row>
    <row r="69" spans="1:12" s="2" customFormat="1" ht="45" x14ac:dyDescent="0.25">
      <c r="A69" s="6" t="s">
        <v>176</v>
      </c>
      <c r="B69" s="2" t="s">
        <v>177</v>
      </c>
      <c r="C69" s="3" t="s">
        <v>11</v>
      </c>
      <c r="D69" s="3" t="s">
        <v>63</v>
      </c>
      <c r="E69" s="3" t="s">
        <v>26</v>
      </c>
      <c r="F69" s="3" t="s">
        <v>13</v>
      </c>
      <c r="G69" s="3" t="s">
        <v>14</v>
      </c>
      <c r="H69" s="4" t="s">
        <v>178</v>
      </c>
      <c r="I69" s="8">
        <v>0</v>
      </c>
      <c r="J69" s="14">
        <v>8.4000000000000012E-3</v>
      </c>
      <c r="K69" s="3" t="s">
        <v>179</v>
      </c>
      <c r="L69" s="5" t="str">
        <f>HYPERLINK("https://www.blackrock.com/uk/literature/kiid/ucits_kiid-bgf-world-mining-fund-class-a2-usd-gb-lu0075056555-en.pdf","KID")</f>
        <v>KID</v>
      </c>
    </row>
    <row r="70" spans="1:12" ht="45" x14ac:dyDescent="0.25">
      <c r="A70" s="9" t="s">
        <v>180</v>
      </c>
      <c r="B70" t="s">
        <v>181</v>
      </c>
      <c r="C70" s="7" t="s">
        <v>11</v>
      </c>
      <c r="D70" s="7" t="s">
        <v>63</v>
      </c>
      <c r="E70" s="7" t="s">
        <v>26</v>
      </c>
      <c r="F70" s="7" t="s">
        <v>13</v>
      </c>
      <c r="G70" s="7" t="s">
        <v>14</v>
      </c>
      <c r="H70" s="10" t="s">
        <v>98</v>
      </c>
      <c r="I70" s="11">
        <v>0</v>
      </c>
      <c r="J70" s="13">
        <v>7.1999999999999998E-3</v>
      </c>
      <c r="K70" s="7" t="s">
        <v>109</v>
      </c>
      <c r="L70" s="12" t="str">
        <f>HYPERLINK("https://www.franklintempleton.cz/download/cs-cz/key-information-document/9d0066ec-0132-40b0-961d-ae9d5c691883/PRIIPSEU_LU2063271972_cs_CZ.pdf","KID")</f>
        <v>KID</v>
      </c>
    </row>
    <row r="71" spans="1:12" s="2" customFormat="1" ht="45" x14ac:dyDescent="0.25">
      <c r="A71" s="6" t="s">
        <v>182</v>
      </c>
      <c r="B71" s="2" t="s">
        <v>183</v>
      </c>
      <c r="C71" s="3" t="s">
        <v>11</v>
      </c>
      <c r="D71" s="3" t="s">
        <v>63</v>
      </c>
      <c r="E71" s="3" t="s">
        <v>26</v>
      </c>
      <c r="F71" s="3" t="s">
        <v>77</v>
      </c>
      <c r="G71" s="3" t="s">
        <v>14</v>
      </c>
      <c r="H71" s="4" t="s">
        <v>178</v>
      </c>
      <c r="I71" s="8">
        <v>0</v>
      </c>
      <c r="J71" s="14">
        <v>7.1999999999999998E-3</v>
      </c>
      <c r="K71" s="3" t="s">
        <v>109</v>
      </c>
      <c r="L71" s="5" t="str">
        <f>HYPERLINK("https://www.franklintempleton.cz/download/cs-cz/key-information-document/db5c883c-54a5-45d8-b1b6-8a18a50fb307/PRIIPSEU_LU0109394709_cs_CZ.pdf","KID")</f>
        <v>KID</v>
      </c>
    </row>
    <row r="72" spans="1:12" ht="45" x14ac:dyDescent="0.25">
      <c r="A72" s="9" t="s">
        <v>184</v>
      </c>
      <c r="B72" t="s">
        <v>185</v>
      </c>
      <c r="C72" s="7" t="s">
        <v>11</v>
      </c>
      <c r="D72" s="7" t="s">
        <v>63</v>
      </c>
      <c r="E72" s="7" t="s">
        <v>26</v>
      </c>
      <c r="F72" s="7" t="s">
        <v>13</v>
      </c>
      <c r="G72" s="7" t="s">
        <v>14</v>
      </c>
      <c r="H72" s="10" t="s">
        <v>178</v>
      </c>
      <c r="I72" s="11">
        <v>0</v>
      </c>
      <c r="J72" s="13">
        <v>7.1999999999999998E-3</v>
      </c>
      <c r="K72" s="7" t="s">
        <v>109</v>
      </c>
      <c r="L72" s="12" t="str">
        <f>HYPERLINK("https://www.amundi.cz/dl/doc/kid-priips/LU2860962559/CES/CZE/20250618?inline","KID")</f>
        <v>KID</v>
      </c>
    </row>
    <row r="73" spans="1:12" s="2" customFormat="1" ht="45" x14ac:dyDescent="0.25">
      <c r="A73" s="6" t="s">
        <v>186</v>
      </c>
      <c r="B73" s="2" t="s">
        <v>187</v>
      </c>
      <c r="C73" s="3" t="s">
        <v>11</v>
      </c>
      <c r="D73" s="3" t="s">
        <v>63</v>
      </c>
      <c r="E73" s="3" t="s">
        <v>26</v>
      </c>
      <c r="F73" s="3" t="s">
        <v>77</v>
      </c>
      <c r="G73" s="3" t="s">
        <v>14</v>
      </c>
      <c r="H73" s="4" t="s">
        <v>98</v>
      </c>
      <c r="I73" s="8">
        <v>0</v>
      </c>
      <c r="J73" s="14">
        <v>7.1999999999999998E-3</v>
      </c>
      <c r="K73" s="3" t="s">
        <v>109</v>
      </c>
      <c r="L73" s="5" t="str">
        <f>HYPERLINK("https://czfondy.gs.com/o/nnirest/documents/newestFundDocument?isin=LU0119195450&amp;lan=cz&amp;type=pro_s&amp;web=cz","KID")</f>
        <v>KID</v>
      </c>
    </row>
    <row r="74" spans="1:12" ht="45" x14ac:dyDescent="0.25">
      <c r="A74" s="9" t="s">
        <v>188</v>
      </c>
      <c r="B74" t="s">
        <v>189</v>
      </c>
      <c r="C74" s="7" t="s">
        <v>11</v>
      </c>
      <c r="D74" s="7" t="s">
        <v>63</v>
      </c>
      <c r="E74" s="7" t="s">
        <v>26</v>
      </c>
      <c r="F74" s="7" t="s">
        <v>13</v>
      </c>
      <c r="G74" s="7" t="s">
        <v>14</v>
      </c>
      <c r="H74" s="10" t="s">
        <v>68</v>
      </c>
      <c r="I74" s="11">
        <v>0</v>
      </c>
      <c r="J74" s="13">
        <v>7.92E-3</v>
      </c>
      <c r="K74" s="7" t="s">
        <v>179</v>
      </c>
      <c r="L74" s="12" t="str">
        <f>HYPERLINK("https://www.blackrock.com/cz/individualni-investori/literature/kiid/eu-priips-bgf-sustainable-energy-fund-class-a2-usd-lu0124384867-cs.pdf","KID")</f>
        <v>KID</v>
      </c>
    </row>
    <row r="75" spans="1:12" s="2" customFormat="1" ht="45" x14ac:dyDescent="0.25">
      <c r="A75" s="6" t="s">
        <v>190</v>
      </c>
      <c r="B75" s="2" t="s">
        <v>191</v>
      </c>
      <c r="C75" s="3" t="s">
        <v>11</v>
      </c>
      <c r="D75" s="3" t="s">
        <v>63</v>
      </c>
      <c r="E75" s="3" t="s">
        <v>26</v>
      </c>
      <c r="F75" s="3" t="s">
        <v>77</v>
      </c>
      <c r="G75" s="3" t="s">
        <v>14</v>
      </c>
      <c r="H75" s="4" t="s">
        <v>27</v>
      </c>
      <c r="I75" s="8">
        <v>0</v>
      </c>
      <c r="J75" s="14">
        <v>4.7999999999999996E-3</v>
      </c>
      <c r="K75" s="3" t="s">
        <v>95</v>
      </c>
      <c r="L75" s="5" t="str">
        <f>HYPERLINK("https://www.amundi.cz/produkty/dl/doc/kid-priips/LU1095742109/CES/CZE","KID")</f>
        <v>KID</v>
      </c>
    </row>
    <row r="76" spans="1:12" ht="45" x14ac:dyDescent="0.25">
      <c r="A76" s="9" t="s">
        <v>192</v>
      </c>
      <c r="B76" t="s">
        <v>193</v>
      </c>
      <c r="C76" s="7" t="s">
        <v>11</v>
      </c>
      <c r="D76" s="7" t="s">
        <v>63</v>
      </c>
      <c r="E76" s="7" t="s">
        <v>26</v>
      </c>
      <c r="F76" s="7" t="s">
        <v>13</v>
      </c>
      <c r="G76" s="7" t="s">
        <v>14</v>
      </c>
      <c r="H76" s="10" t="s">
        <v>68</v>
      </c>
      <c r="I76" s="11">
        <v>0</v>
      </c>
      <c r="J76" s="13">
        <v>7.1999999999999998E-3</v>
      </c>
      <c r="K76" s="7" t="s">
        <v>95</v>
      </c>
      <c r="L76" s="12" t="str">
        <f>HYPERLINK("https://www.amundi.cz/produkty/dl/doc/kid-priips/LU1883320720/CES/CZE","KID")</f>
        <v>KID</v>
      </c>
    </row>
    <row r="77" spans="1:12" s="2" customFormat="1" ht="45" x14ac:dyDescent="0.25">
      <c r="A77" s="6" t="s">
        <v>194</v>
      </c>
      <c r="B77" s="2" t="s">
        <v>195</v>
      </c>
      <c r="C77" s="3" t="s">
        <v>11</v>
      </c>
      <c r="D77" s="3" t="s">
        <v>63</v>
      </c>
      <c r="E77" s="3" t="s">
        <v>131</v>
      </c>
      <c r="F77" s="3" t="s">
        <v>13</v>
      </c>
      <c r="G77" s="3" t="s">
        <v>14</v>
      </c>
      <c r="H77" s="4" t="s">
        <v>23</v>
      </c>
      <c r="I77" s="8">
        <v>0</v>
      </c>
      <c r="J77" s="14">
        <v>7.1999999999999998E-3</v>
      </c>
      <c r="K77" s="3" t="s">
        <v>95</v>
      </c>
      <c r="L77" s="5" t="str">
        <f>HYPERLINK("https://www.amundi.cz/produkty/dl/doc/kid-priips/LU1883840990/CES/CZE","KID")</f>
        <v>KID</v>
      </c>
    </row>
    <row r="78" spans="1:12" ht="45" x14ac:dyDescent="0.25">
      <c r="A78" s="9" t="s">
        <v>196</v>
      </c>
      <c r="B78" t="s">
        <v>197</v>
      </c>
      <c r="C78" s="7" t="s">
        <v>11</v>
      </c>
      <c r="D78" s="7" t="s">
        <v>63</v>
      </c>
      <c r="E78" s="7" t="s">
        <v>131</v>
      </c>
      <c r="F78" s="7" t="s">
        <v>13</v>
      </c>
      <c r="G78" s="7" t="s">
        <v>14</v>
      </c>
      <c r="H78" s="10" t="s">
        <v>23</v>
      </c>
      <c r="I78" s="11">
        <v>0</v>
      </c>
      <c r="J78" s="13">
        <v>6.0000000000000001E-3</v>
      </c>
      <c r="K78" s="7" t="s">
        <v>95</v>
      </c>
      <c r="L78" s="12" t="str">
        <f>HYPERLINK("https://www.amundi.cz/produkty/dl/doc/kid-priips/LU1882475806/CES/CZE","KID")</f>
        <v>KID</v>
      </c>
    </row>
    <row r="79" spans="1:12" s="2" customFormat="1" ht="45" x14ac:dyDescent="0.25">
      <c r="A79" s="6" t="s">
        <v>198</v>
      </c>
      <c r="B79" s="2" t="s">
        <v>199</v>
      </c>
      <c r="C79" s="3" t="s">
        <v>11</v>
      </c>
      <c r="D79" s="3" t="s">
        <v>63</v>
      </c>
      <c r="E79" s="3" t="s">
        <v>26</v>
      </c>
      <c r="F79" s="3" t="s">
        <v>77</v>
      </c>
      <c r="G79" s="3" t="s">
        <v>14</v>
      </c>
      <c r="H79" s="4" t="s">
        <v>68</v>
      </c>
      <c r="I79" s="8">
        <v>0</v>
      </c>
      <c r="J79" s="14">
        <v>7.1999999999999998E-3</v>
      </c>
      <c r="K79" s="3" t="s">
        <v>95</v>
      </c>
      <c r="L79" s="5" t="str">
        <f>HYPERLINK("https://www.amundi.cz/produkty/dl/doc/kid-priips/LU1883311067/CES/CZE","KID")</f>
        <v>KID</v>
      </c>
    </row>
    <row r="80" spans="1:12" ht="45" x14ac:dyDescent="0.25">
      <c r="A80" s="9" t="s">
        <v>200</v>
      </c>
      <c r="B80" t="s">
        <v>201</v>
      </c>
      <c r="C80" s="7" t="s">
        <v>11</v>
      </c>
      <c r="D80" s="7" t="s">
        <v>63</v>
      </c>
      <c r="E80" s="7" t="s">
        <v>26</v>
      </c>
      <c r="F80" s="7" t="s">
        <v>77</v>
      </c>
      <c r="G80" s="7" t="s">
        <v>14</v>
      </c>
      <c r="H80" s="10" t="s">
        <v>68</v>
      </c>
      <c r="I80" s="11">
        <v>0</v>
      </c>
      <c r="J80" s="13">
        <v>6.9999999999999999E-4</v>
      </c>
      <c r="K80" s="7" t="s">
        <v>95</v>
      </c>
      <c r="L80" s="12" t="str">
        <f>HYPERLINK("https://www.amundi.cz/produkty/dl/doc/kid-priips/LU1049757393/CES/CZE","KID")</f>
        <v>KID</v>
      </c>
    </row>
    <row r="81" spans="1:12" s="2" customFormat="1" ht="45" x14ac:dyDescent="0.25">
      <c r="A81" s="6" t="s">
        <v>202</v>
      </c>
      <c r="B81" s="2" t="s">
        <v>203</v>
      </c>
      <c r="C81" s="3" t="s">
        <v>11</v>
      </c>
      <c r="D81" s="3" t="s">
        <v>63</v>
      </c>
      <c r="E81" s="3" t="s">
        <v>26</v>
      </c>
      <c r="F81" s="3" t="s">
        <v>77</v>
      </c>
      <c r="G81" s="3" t="s">
        <v>14</v>
      </c>
      <c r="H81" s="4" t="s">
        <v>68</v>
      </c>
      <c r="I81" s="8">
        <v>0</v>
      </c>
      <c r="J81" s="14">
        <v>7.1999999999999998E-3</v>
      </c>
      <c r="K81" s="3" t="s">
        <v>95</v>
      </c>
      <c r="L81" s="5" t="str">
        <f>HYPERLINK("https://www.amundi.cz/produkty/dl/doc/kid-priips/LU1883311141/CES/CZE","KID")</f>
        <v>KID</v>
      </c>
    </row>
    <row r="82" spans="1:12" ht="45" x14ac:dyDescent="0.25">
      <c r="A82" s="9" t="s">
        <v>204</v>
      </c>
      <c r="B82" t="s">
        <v>205</v>
      </c>
      <c r="C82" s="7" t="s">
        <v>11</v>
      </c>
      <c r="D82" s="7" t="s">
        <v>63</v>
      </c>
      <c r="E82" s="7" t="s">
        <v>26</v>
      </c>
      <c r="F82" s="7" t="s">
        <v>77</v>
      </c>
      <c r="G82" s="7" t="s">
        <v>14</v>
      </c>
      <c r="H82" s="10" t="s">
        <v>68</v>
      </c>
      <c r="I82" s="11">
        <v>0</v>
      </c>
      <c r="J82" s="13">
        <v>6.9999999999999999E-4</v>
      </c>
      <c r="K82" s="7" t="s">
        <v>95</v>
      </c>
      <c r="L82" s="12" t="str">
        <f>HYPERLINK("https://www.amundi.cz/produkty/dl/doc/kid-priips/LU0442407853/CES/CZE","KID")</f>
        <v>KID</v>
      </c>
    </row>
    <row r="83" spans="1:12" s="2" customFormat="1" ht="45" x14ac:dyDescent="0.25">
      <c r="A83" s="6" t="s">
        <v>206</v>
      </c>
      <c r="B83" s="2" t="s">
        <v>207</v>
      </c>
      <c r="C83" s="3" t="s">
        <v>11</v>
      </c>
      <c r="D83" s="3" t="s">
        <v>63</v>
      </c>
      <c r="E83" s="3" t="s">
        <v>26</v>
      </c>
      <c r="F83" s="3" t="s">
        <v>77</v>
      </c>
      <c r="G83" s="3" t="s">
        <v>14</v>
      </c>
      <c r="H83" s="4" t="s">
        <v>68</v>
      </c>
      <c r="I83" s="8">
        <v>0</v>
      </c>
      <c r="J83" s="14">
        <v>7.1999999999999998E-3</v>
      </c>
      <c r="K83" s="3" t="s">
        <v>95</v>
      </c>
      <c r="L83" s="5" t="str">
        <f>HYPERLINK("https://www.amundi.cz/produkty/dl/doc/kid-priips/LU1883868819/CES/CZE","KID")</f>
        <v>KID</v>
      </c>
    </row>
    <row r="84" spans="1:12" ht="45" x14ac:dyDescent="0.25">
      <c r="A84" s="9" t="s">
        <v>208</v>
      </c>
      <c r="B84" t="s">
        <v>209</v>
      </c>
      <c r="C84" s="7" t="s">
        <v>11</v>
      </c>
      <c r="D84" s="7" t="s">
        <v>63</v>
      </c>
      <c r="E84" s="7" t="s">
        <v>26</v>
      </c>
      <c r="F84" s="7" t="s">
        <v>77</v>
      </c>
      <c r="G84" s="7" t="s">
        <v>14</v>
      </c>
      <c r="H84" s="10" t="s">
        <v>98</v>
      </c>
      <c r="I84" s="11">
        <v>0</v>
      </c>
      <c r="J84" s="13">
        <v>8.2000000000000007E-3</v>
      </c>
      <c r="K84" s="7" t="s">
        <v>95</v>
      </c>
      <c r="L84" s="12" t="str">
        <f>HYPERLINK("https://www.amundi.cz/produkty/dl/doc/kid-priips/LU1049754457/CES/CZE","KID")</f>
        <v>KID</v>
      </c>
    </row>
    <row r="85" spans="1:12" s="2" customFormat="1" ht="45" x14ac:dyDescent="0.25">
      <c r="A85" s="6" t="s">
        <v>210</v>
      </c>
      <c r="B85" s="2" t="s">
        <v>211</v>
      </c>
      <c r="C85" s="3" t="s">
        <v>11</v>
      </c>
      <c r="D85" s="3" t="s">
        <v>63</v>
      </c>
      <c r="E85" s="3" t="s">
        <v>26</v>
      </c>
      <c r="F85" s="3" t="s">
        <v>13</v>
      </c>
      <c r="G85" s="3" t="s">
        <v>14</v>
      </c>
      <c r="H85" s="4" t="s">
        <v>68</v>
      </c>
      <c r="I85" s="8">
        <v>0</v>
      </c>
      <c r="J85" s="14">
        <v>7.1999999999999998E-3</v>
      </c>
      <c r="K85" s="3" t="s">
        <v>95</v>
      </c>
      <c r="L85" s="5" t="str">
        <f>HYPERLINK("https://www.amundi.cz/produkty/dl/doc/kid-priips/LU1883321371/CES/CZE","KID")</f>
        <v>KID</v>
      </c>
    </row>
    <row r="86" spans="1:12" ht="45" x14ac:dyDescent="0.25">
      <c r="A86" s="9" t="s">
        <v>212</v>
      </c>
      <c r="B86" t="s">
        <v>213</v>
      </c>
      <c r="C86" s="7" t="s">
        <v>11</v>
      </c>
      <c r="D86" s="7" t="s">
        <v>63</v>
      </c>
      <c r="E86" s="7" t="s">
        <v>214</v>
      </c>
      <c r="F86" s="7" t="s">
        <v>13</v>
      </c>
      <c r="G86" s="7" t="s">
        <v>14</v>
      </c>
      <c r="H86" s="10" t="s">
        <v>23</v>
      </c>
      <c r="I86" s="11">
        <v>0</v>
      </c>
      <c r="J86" s="13">
        <v>3.7000000000000002E-3</v>
      </c>
      <c r="K86" s="7" t="s">
        <v>95</v>
      </c>
      <c r="L86" s="12" t="str">
        <f>HYPERLINK("https://www.amundi.cz/produkty/dl/doc/kid-priips/LU1049752758/CES/CZE","KID")</f>
        <v>KID</v>
      </c>
    </row>
    <row r="87" spans="1:12" s="2" customFormat="1" ht="45" x14ac:dyDescent="0.25">
      <c r="A87" s="6" t="s">
        <v>215</v>
      </c>
      <c r="B87" s="2" t="s">
        <v>216</v>
      </c>
      <c r="C87" s="3" t="s">
        <v>11</v>
      </c>
      <c r="D87" s="3" t="s">
        <v>63</v>
      </c>
      <c r="E87" s="3" t="s">
        <v>131</v>
      </c>
      <c r="F87" s="3" t="s">
        <v>13</v>
      </c>
      <c r="G87" s="3" t="s">
        <v>14</v>
      </c>
      <c r="H87" s="4" t="s">
        <v>23</v>
      </c>
      <c r="I87" s="8">
        <v>0</v>
      </c>
      <c r="J87" s="14">
        <v>7.1999999999999998E-3</v>
      </c>
      <c r="K87" s="3" t="s">
        <v>95</v>
      </c>
      <c r="L87" s="5" t="str">
        <f>HYPERLINK("https://www.amundi.cz/produkty/dl/doc/kid-priips/LU1883330364/CES/CZE","KID")</f>
        <v>KID</v>
      </c>
    </row>
    <row r="88" spans="1:12" ht="45" x14ac:dyDescent="0.25">
      <c r="A88" s="9" t="s">
        <v>217</v>
      </c>
      <c r="B88" t="s">
        <v>218</v>
      </c>
      <c r="C88" s="7" t="s">
        <v>11</v>
      </c>
      <c r="D88" s="7" t="s">
        <v>63</v>
      </c>
      <c r="E88" s="7" t="s">
        <v>131</v>
      </c>
      <c r="F88" s="7" t="s">
        <v>77</v>
      </c>
      <c r="G88" s="7" t="s">
        <v>14</v>
      </c>
      <c r="H88" s="10" t="s">
        <v>27</v>
      </c>
      <c r="I88" s="11">
        <v>0</v>
      </c>
      <c r="J88" s="13">
        <v>6.7000000000000002E-3</v>
      </c>
      <c r="K88" s="7" t="s">
        <v>95</v>
      </c>
      <c r="L88" s="12" t="str">
        <f>HYPERLINK("https://www.amundi-kb.cz/storage/app/media/KIID/KIID_LU1121647231.pdf","KID")</f>
        <v>KID</v>
      </c>
    </row>
    <row r="89" spans="1:12" s="2" customFormat="1" ht="45" x14ac:dyDescent="0.25">
      <c r="A89" s="6" t="s">
        <v>219</v>
      </c>
      <c r="B89" s="2" t="s">
        <v>220</v>
      </c>
      <c r="C89" s="3" t="s">
        <v>11</v>
      </c>
      <c r="D89" s="3" t="s">
        <v>63</v>
      </c>
      <c r="E89" s="3" t="s">
        <v>26</v>
      </c>
      <c r="F89" s="3" t="s">
        <v>77</v>
      </c>
      <c r="G89" s="3" t="s">
        <v>14</v>
      </c>
      <c r="H89" s="4" t="s">
        <v>98</v>
      </c>
      <c r="I89" s="8">
        <v>0</v>
      </c>
      <c r="J89" s="14">
        <v>7.1999999999999998E-3</v>
      </c>
      <c r="K89" s="3" t="s">
        <v>95</v>
      </c>
      <c r="L89" s="5" t="str">
        <f>HYPERLINK("https://www.amundi.cz/produkty/dl/doc/kid-priips/LU1883303809/CES/CZE","KID")</f>
        <v>KID</v>
      </c>
    </row>
    <row r="90" spans="1:12" ht="45" x14ac:dyDescent="0.25">
      <c r="A90" s="9" t="s">
        <v>221</v>
      </c>
      <c r="B90" t="s">
        <v>222</v>
      </c>
      <c r="C90" s="7" t="s">
        <v>11</v>
      </c>
      <c r="D90" s="7" t="s">
        <v>63</v>
      </c>
      <c r="E90" s="7" t="s">
        <v>26</v>
      </c>
      <c r="F90" s="7" t="s">
        <v>77</v>
      </c>
      <c r="G90" s="7" t="s">
        <v>14</v>
      </c>
      <c r="H90" s="10" t="s">
        <v>68</v>
      </c>
      <c r="I90" s="11">
        <v>0</v>
      </c>
      <c r="J90" s="13">
        <v>7.9000000000000008E-3</v>
      </c>
      <c r="K90" s="7" t="s">
        <v>95</v>
      </c>
      <c r="L90" s="12" t="str">
        <f>HYPERLINK("https://www.amundi.cz/dl/doc/kid-priips/LU1883342617/CES/CZE/20260522?inline","KID")</f>
        <v>KID</v>
      </c>
    </row>
    <row r="91" spans="1:12" s="2" customFormat="1" ht="45" x14ac:dyDescent="0.25">
      <c r="A91" s="6" t="s">
        <v>223</v>
      </c>
      <c r="B91" s="2" t="s">
        <v>224</v>
      </c>
      <c r="C91" s="3" t="s">
        <v>11</v>
      </c>
      <c r="D91" s="3" t="s">
        <v>63</v>
      </c>
      <c r="E91" s="3" t="s">
        <v>26</v>
      </c>
      <c r="F91" s="3" t="s">
        <v>77</v>
      </c>
      <c r="G91" s="3" t="s">
        <v>14</v>
      </c>
      <c r="H91" s="4" t="s">
        <v>98</v>
      </c>
      <c r="I91" s="8">
        <v>0</v>
      </c>
      <c r="J91" s="14">
        <v>8.2000000000000007E-3</v>
      </c>
      <c r="K91" s="3" t="s">
        <v>95</v>
      </c>
      <c r="L91" s="5" t="str">
        <f>HYPERLINK("https://www.amundi-kb.cz/storage/app/media/KIID/KIID_LU0236501697.pdf","KID")</f>
        <v>KID</v>
      </c>
    </row>
    <row r="92" spans="1:12" ht="45" x14ac:dyDescent="0.25">
      <c r="A92" s="9" t="s">
        <v>225</v>
      </c>
      <c r="B92" t="s">
        <v>226</v>
      </c>
      <c r="C92" s="7" t="s">
        <v>11</v>
      </c>
      <c r="D92" s="7" t="s">
        <v>63</v>
      </c>
      <c r="E92" s="7" t="s">
        <v>26</v>
      </c>
      <c r="F92" s="7" t="s">
        <v>77</v>
      </c>
      <c r="G92" s="7" t="s">
        <v>14</v>
      </c>
      <c r="H92" s="10" t="s">
        <v>68</v>
      </c>
      <c r="I92" s="11">
        <v>0</v>
      </c>
      <c r="J92" s="13">
        <v>6.9999999999999999E-4</v>
      </c>
      <c r="K92" s="7" t="s">
        <v>95</v>
      </c>
      <c r="L92" s="12" t="str">
        <f>HYPERLINK("https://www.amundi.cz/produkty/dl/doc/kid-priips/LU0389811885/CES/CZE","KID")</f>
        <v>KID</v>
      </c>
    </row>
    <row r="93" spans="1:12" s="2" customFormat="1" ht="45" x14ac:dyDescent="0.25">
      <c r="A93" s="6" t="s">
        <v>227</v>
      </c>
      <c r="B93" s="2" t="s">
        <v>228</v>
      </c>
      <c r="C93" s="3" t="s">
        <v>11</v>
      </c>
      <c r="D93" s="3" t="s">
        <v>63</v>
      </c>
      <c r="E93" s="3" t="s">
        <v>26</v>
      </c>
      <c r="F93" s="3" t="s">
        <v>13</v>
      </c>
      <c r="G93" s="3" t="s">
        <v>14</v>
      </c>
      <c r="H93" s="4" t="s">
        <v>23</v>
      </c>
      <c r="I93" s="8">
        <v>0</v>
      </c>
      <c r="J93" s="14">
        <v>5.7999999999999996E-3</v>
      </c>
      <c r="K93" s="3" t="s">
        <v>95</v>
      </c>
      <c r="L93" s="5" t="str">
        <f>HYPERLINK("https://www.amundi-kb.cz/storage/app/media/KIID/KIID_LU1049751867.pdf","KID")</f>
        <v>KID</v>
      </c>
    </row>
    <row r="94" spans="1:12" ht="45" x14ac:dyDescent="0.25">
      <c r="A94" s="9" t="s">
        <v>229</v>
      </c>
      <c r="B94" t="s">
        <v>230</v>
      </c>
      <c r="C94" s="7" t="s">
        <v>11</v>
      </c>
      <c r="D94" s="7" t="s">
        <v>63</v>
      </c>
      <c r="E94" s="7" t="s">
        <v>26</v>
      </c>
      <c r="F94" s="7" t="s">
        <v>13</v>
      </c>
      <c r="G94" s="7" t="s">
        <v>14</v>
      </c>
      <c r="H94" s="10" t="s">
        <v>68</v>
      </c>
      <c r="I94" s="11">
        <v>0</v>
      </c>
      <c r="J94" s="13">
        <v>7.1999999999999998E-3</v>
      </c>
      <c r="K94" s="7" t="s">
        <v>95</v>
      </c>
      <c r="L94" s="12" t="str">
        <f>HYPERLINK("https://www.amundi.com/dl/doc/kid-priips/LU1883314244/ENG/CZE/20250619?inline","KID")</f>
        <v>KID</v>
      </c>
    </row>
    <row r="95" spans="1:12" s="2" customFormat="1" ht="45" x14ac:dyDescent="0.25">
      <c r="A95" s="6" t="s">
        <v>231</v>
      </c>
      <c r="B95" s="2" t="s">
        <v>232</v>
      </c>
      <c r="C95" s="3" t="s">
        <v>11</v>
      </c>
      <c r="D95" s="3" t="s">
        <v>63</v>
      </c>
      <c r="E95" s="3" t="s">
        <v>26</v>
      </c>
      <c r="F95" s="3" t="s">
        <v>77</v>
      </c>
      <c r="G95" s="3" t="s">
        <v>14</v>
      </c>
      <c r="H95" s="4" t="s">
        <v>98</v>
      </c>
      <c r="I95" s="8">
        <v>0</v>
      </c>
      <c r="J95" s="14">
        <v>7.1999999999999998E-3</v>
      </c>
      <c r="K95" s="3" t="s">
        <v>95</v>
      </c>
      <c r="L95" s="5" t="str">
        <f>HYPERLINK("https://www.amundi.cz/produkty/dl/doc/kid-priips/LU1883303635/CES/CZE","KID")</f>
        <v>KID</v>
      </c>
    </row>
    <row r="96" spans="1:12" ht="45" x14ac:dyDescent="0.25">
      <c r="A96" s="9" t="s">
        <v>233</v>
      </c>
      <c r="B96" t="s">
        <v>234</v>
      </c>
      <c r="C96" s="7" t="s">
        <v>11</v>
      </c>
      <c r="D96" s="7" t="s">
        <v>63</v>
      </c>
      <c r="E96" s="7" t="s">
        <v>26</v>
      </c>
      <c r="F96" s="7" t="s">
        <v>77</v>
      </c>
      <c r="G96" s="7" t="s">
        <v>14</v>
      </c>
      <c r="H96" s="10" t="s">
        <v>68</v>
      </c>
      <c r="I96" s="11">
        <v>0</v>
      </c>
      <c r="J96" s="13">
        <v>7.1999999999999998E-3</v>
      </c>
      <c r="K96" s="7" t="s">
        <v>95</v>
      </c>
      <c r="L96" s="12" t="str">
        <f>HYPERLINK("https://www.conseq.cz/Conseq/Document.ashx?file=LU1883859404-KIID-CZE-CS&amp;onlybody=showonlybody","KID")</f>
        <v>KID</v>
      </c>
    </row>
    <row r="97" spans="1:12" s="2" customFormat="1" ht="45" x14ac:dyDescent="0.25">
      <c r="A97" s="6" t="s">
        <v>235</v>
      </c>
      <c r="B97" s="2" t="s">
        <v>236</v>
      </c>
      <c r="C97" s="3" t="s">
        <v>11</v>
      </c>
      <c r="D97" s="3" t="s">
        <v>63</v>
      </c>
      <c r="E97" s="3" t="s">
        <v>214</v>
      </c>
      <c r="F97" s="3" t="s">
        <v>13</v>
      </c>
      <c r="G97" s="3" t="s">
        <v>14</v>
      </c>
      <c r="H97" s="4" t="s">
        <v>23</v>
      </c>
      <c r="I97" s="8">
        <v>0</v>
      </c>
      <c r="J97" s="14">
        <v>4.7999999999999996E-3</v>
      </c>
      <c r="K97" s="3" t="s">
        <v>95</v>
      </c>
      <c r="L97" s="5" t="str">
        <f>HYPERLINK("https://www.amundi.cz/dl/doc/kid-priips/LU1650130344/CES/CZE/20250905?inline","KID")</f>
        <v>KID</v>
      </c>
    </row>
    <row r="98" spans="1:12" ht="45" x14ac:dyDescent="0.25">
      <c r="A98" s="9" t="s">
        <v>237</v>
      </c>
      <c r="B98" t="s">
        <v>238</v>
      </c>
      <c r="C98" s="7" t="s">
        <v>11</v>
      </c>
      <c r="D98" s="7" t="s">
        <v>63</v>
      </c>
      <c r="E98" s="7" t="s">
        <v>131</v>
      </c>
      <c r="F98" s="7" t="s">
        <v>13</v>
      </c>
      <c r="G98" s="7" t="s">
        <v>14</v>
      </c>
      <c r="H98" s="10" t="s">
        <v>27</v>
      </c>
      <c r="I98" s="11">
        <v>0</v>
      </c>
      <c r="J98" s="13">
        <v>6.4999999999999997E-3</v>
      </c>
      <c r="K98" s="7" t="s">
        <v>95</v>
      </c>
      <c r="L98" s="12" t="str">
        <f>HYPERLINK("https://www.amundi-kb.cz/storage/app/media/KIID/KIID_LU1880385494.pdf","KID")</f>
        <v>KID</v>
      </c>
    </row>
    <row r="99" spans="1:12" s="2" customFormat="1" ht="45" x14ac:dyDescent="0.25">
      <c r="A99" s="6" t="s">
        <v>239</v>
      </c>
      <c r="B99" s="2" t="s">
        <v>240</v>
      </c>
      <c r="C99" s="3" t="s">
        <v>11</v>
      </c>
      <c r="D99" s="3" t="s">
        <v>63</v>
      </c>
      <c r="E99" s="3" t="s">
        <v>26</v>
      </c>
      <c r="F99" s="3" t="s">
        <v>13</v>
      </c>
      <c r="G99" s="3" t="s">
        <v>14</v>
      </c>
      <c r="H99" s="4" t="s">
        <v>98</v>
      </c>
      <c r="I99" s="8">
        <v>0</v>
      </c>
      <c r="J99" s="14">
        <v>7.1999999999999998E-3</v>
      </c>
      <c r="K99" s="3" t="s">
        <v>101</v>
      </c>
      <c r="L99" s="5" t="str">
        <f>HYPERLINK("https://fidelity.priips-document.com/Fidelity-International/LU0594300179/cs/eu/","KID")</f>
        <v>KID</v>
      </c>
    </row>
    <row r="100" spans="1:12" ht="45" x14ac:dyDescent="0.25">
      <c r="A100" s="9" t="s">
        <v>241</v>
      </c>
      <c r="B100" t="s">
        <v>242</v>
      </c>
      <c r="C100" s="7" t="s">
        <v>11</v>
      </c>
      <c r="D100" s="7" t="s">
        <v>63</v>
      </c>
      <c r="E100" s="7" t="s">
        <v>26</v>
      </c>
      <c r="F100" s="7" t="s">
        <v>13</v>
      </c>
      <c r="G100" s="7" t="s">
        <v>14</v>
      </c>
      <c r="H100" s="10" t="s">
        <v>27</v>
      </c>
      <c r="I100" s="11">
        <v>0</v>
      </c>
      <c r="J100" s="13">
        <v>4.2240000000000003E-3</v>
      </c>
      <c r="K100" s="7" t="s">
        <v>109</v>
      </c>
      <c r="L100" s="12" t="str">
        <f>HYPERLINK("https://www.franklintempleton.cz/download/cs-cz/key-information-document/3edcfa06-89ad-4e14-b2ed-03a8cb816d3f/PRIIPSEU_LU0131126228_cs_CZ.pdf","KID")</f>
        <v>KID</v>
      </c>
    </row>
    <row r="101" spans="1:12" s="2" customFormat="1" ht="45" x14ac:dyDescent="0.25">
      <c r="A101" s="6" t="s">
        <v>342</v>
      </c>
      <c r="B101" s="2" t="s">
        <v>243</v>
      </c>
      <c r="C101" s="3" t="s">
        <v>11</v>
      </c>
      <c r="D101" s="3" t="s">
        <v>63</v>
      </c>
      <c r="E101" s="3" t="s">
        <v>26</v>
      </c>
      <c r="F101" s="3" t="s">
        <v>13</v>
      </c>
      <c r="G101" s="3" t="s">
        <v>14</v>
      </c>
      <c r="H101" s="4" t="s">
        <v>98</v>
      </c>
      <c r="I101" s="8">
        <v>0</v>
      </c>
      <c r="J101" s="14">
        <v>7.1999999999999998E-3</v>
      </c>
      <c r="K101" s="3" t="s">
        <v>101</v>
      </c>
      <c r="L101" s="5" t="str">
        <f>HYPERLINK("https://fidelity.priips-document.com/Fidelity-International/LU1084165130/cs/eu/","KID")</f>
        <v>KID</v>
      </c>
    </row>
    <row r="102" spans="1:12" ht="45" x14ac:dyDescent="0.25">
      <c r="A102" s="9" t="s">
        <v>244</v>
      </c>
      <c r="B102" t="s">
        <v>245</v>
      </c>
      <c r="C102" s="7" t="s">
        <v>11</v>
      </c>
      <c r="D102" s="7" t="s">
        <v>63</v>
      </c>
      <c r="E102" s="7" t="s">
        <v>26</v>
      </c>
      <c r="F102" s="7" t="s">
        <v>13</v>
      </c>
      <c r="G102" s="7" t="s">
        <v>14</v>
      </c>
      <c r="H102" s="10" t="s">
        <v>98</v>
      </c>
      <c r="I102" s="11">
        <v>0</v>
      </c>
      <c r="J102" s="13">
        <v>8.4000000000000012E-3</v>
      </c>
      <c r="K102" s="7" t="s">
        <v>179</v>
      </c>
      <c r="L102" s="12" t="str">
        <f>HYPERLINK("https://www.blackrock.com/cz/individualni-investori/literature/kiid/eu-priips-bgf-latin-american-fund-class-a2-usd-lu0072463663-cs.pdf","KID")</f>
        <v>KID</v>
      </c>
    </row>
    <row r="103" spans="1:12" s="2" customFormat="1" ht="45" x14ac:dyDescent="0.25">
      <c r="A103" s="6" t="s">
        <v>246</v>
      </c>
      <c r="B103" s="2" t="s">
        <v>247</v>
      </c>
      <c r="C103" s="3" t="s">
        <v>11</v>
      </c>
      <c r="D103" s="3" t="s">
        <v>63</v>
      </c>
      <c r="E103" s="3" t="s">
        <v>26</v>
      </c>
      <c r="F103" s="3" t="s">
        <v>13</v>
      </c>
      <c r="G103" s="3" t="s">
        <v>14</v>
      </c>
      <c r="H103" s="4" t="s">
        <v>15</v>
      </c>
      <c r="I103" s="8">
        <v>0</v>
      </c>
      <c r="J103" s="14">
        <v>2.4000000000000002E-3</v>
      </c>
      <c r="K103" s="3" t="s">
        <v>101</v>
      </c>
      <c r="L103" s="5" t="str">
        <f>HYPERLINK("https://www.conseq.cz/Conseq/Document.ashx?file=LU0267388220-KIID-CZE-CS","KID")</f>
        <v>KID</v>
      </c>
    </row>
    <row r="104" spans="1:12" ht="45" x14ac:dyDescent="0.25">
      <c r="A104" s="9" t="s">
        <v>248</v>
      </c>
      <c r="B104" t="s">
        <v>249</v>
      </c>
      <c r="C104" s="7" t="s">
        <v>11</v>
      </c>
      <c r="D104" s="7" t="s">
        <v>63</v>
      </c>
      <c r="E104" s="7" t="s">
        <v>26</v>
      </c>
      <c r="F104" s="7" t="s">
        <v>77</v>
      </c>
      <c r="G104" s="7" t="s">
        <v>14</v>
      </c>
      <c r="H104" s="10" t="s">
        <v>98</v>
      </c>
      <c r="I104" s="11">
        <v>0</v>
      </c>
      <c r="J104" s="13">
        <v>0</v>
      </c>
      <c r="K104" s="7" t="s">
        <v>280</v>
      </c>
      <c r="L104" s="12" t="str">
        <f>HYPERLINK("https://www.amundi.cz/dl/doc/kid-priips/IE00BZ2YQN98/CES/CZE/20251016?inline","KID")</f>
        <v>KID</v>
      </c>
    </row>
    <row r="105" spans="1:12" s="2" customFormat="1" ht="45" x14ac:dyDescent="0.25">
      <c r="A105" s="6" t="s">
        <v>250</v>
      </c>
      <c r="B105" s="2" t="s">
        <v>251</v>
      </c>
      <c r="C105" s="3" t="s">
        <v>11</v>
      </c>
      <c r="D105" s="3" t="s">
        <v>63</v>
      </c>
      <c r="E105" s="3" t="s">
        <v>26</v>
      </c>
      <c r="F105" s="3" t="s">
        <v>13</v>
      </c>
      <c r="G105" s="3" t="s">
        <v>14</v>
      </c>
      <c r="H105" s="4" t="s">
        <v>27</v>
      </c>
      <c r="I105" s="8">
        <v>0</v>
      </c>
      <c r="J105" s="14">
        <v>4.8000000000000004E-3</v>
      </c>
      <c r="K105" s="3" t="s">
        <v>101</v>
      </c>
      <c r="L105" s="5" t="str">
        <f>HYPERLINK("https://fidelity.priips-document.com/Fidelity-International/LU0979393146/cs/eu/","KID")</f>
        <v>KID</v>
      </c>
    </row>
    <row r="106" spans="1:12" ht="45" x14ac:dyDescent="0.25">
      <c r="A106" s="9" t="s">
        <v>252</v>
      </c>
      <c r="B106" t="s">
        <v>253</v>
      </c>
      <c r="C106" s="7" t="s">
        <v>11</v>
      </c>
      <c r="D106" s="7" t="s">
        <v>63</v>
      </c>
      <c r="E106" s="7" t="s">
        <v>26</v>
      </c>
      <c r="F106" s="7" t="s">
        <v>13</v>
      </c>
      <c r="G106" s="7" t="s">
        <v>14</v>
      </c>
      <c r="H106" s="10" t="s">
        <v>178</v>
      </c>
      <c r="I106" s="11">
        <v>0</v>
      </c>
      <c r="J106" s="13">
        <v>7.1999999999999998E-3</v>
      </c>
      <c r="K106" s="7" t="s">
        <v>109</v>
      </c>
      <c r="L106" s="12" t="str">
        <f>HYPERLINK("https://www.franklintempleton.cz/download/cs-cz/key-information-document/2c0a9bcd-08ee-43b6-a4fd-f8438e2d2be6/PRIIPSEU_LU0496367763_cs_CZ.pdf","KID")</f>
        <v>KID</v>
      </c>
    </row>
    <row r="107" spans="1:12" s="2" customFormat="1" ht="45" x14ac:dyDescent="0.25">
      <c r="A107" s="6" t="s">
        <v>254</v>
      </c>
      <c r="B107" s="2" t="s">
        <v>255</v>
      </c>
      <c r="C107" s="3" t="s">
        <v>11</v>
      </c>
      <c r="D107" s="3" t="s">
        <v>63</v>
      </c>
      <c r="E107" s="3" t="s">
        <v>26</v>
      </c>
      <c r="F107" s="3" t="s">
        <v>13</v>
      </c>
      <c r="G107" s="3" t="s">
        <v>14</v>
      </c>
      <c r="H107" s="4" t="s">
        <v>68</v>
      </c>
      <c r="I107" s="8">
        <v>0</v>
      </c>
      <c r="J107" s="14">
        <v>8.6399999999999984E-3</v>
      </c>
      <c r="K107" s="3" t="s">
        <v>106</v>
      </c>
      <c r="L107" s="5" t="str">
        <f>HYPERLINK("https://api.fundinfo.com/document/d8be657a7e9a74adc89d63cb86de1dee_160655/PRP_CZ_cs_LU0113305253_YES_2026-03-03.pdf?apiKey=d84ea5a6-caca-4b8c-a1dc-94cb88b9ac7c","KID")</f>
        <v>KID</v>
      </c>
    </row>
    <row r="108" spans="1:12" ht="45" x14ac:dyDescent="0.25">
      <c r="A108" s="9" t="s">
        <v>256</v>
      </c>
      <c r="B108" t="s">
        <v>257</v>
      </c>
      <c r="C108" s="7" t="s">
        <v>11</v>
      </c>
      <c r="D108" s="7" t="s">
        <v>63</v>
      </c>
      <c r="E108" s="7" t="s">
        <v>26</v>
      </c>
      <c r="F108" s="7" t="s">
        <v>13</v>
      </c>
      <c r="G108" s="7" t="s">
        <v>14</v>
      </c>
      <c r="H108" s="10" t="s">
        <v>68</v>
      </c>
      <c r="I108" s="11">
        <v>0</v>
      </c>
      <c r="J108" s="13">
        <v>7.1999999999999998E-3</v>
      </c>
      <c r="K108" s="7" t="s">
        <v>101</v>
      </c>
      <c r="L108" s="12" t="str">
        <f>HYPERLINK("https://fidelity.priips-document.com/Fidelity-International/LU0772969993/cs/eu/","KID")</f>
        <v>KID</v>
      </c>
    </row>
    <row r="109" spans="1:12" s="2" customFormat="1" ht="45" x14ac:dyDescent="0.25">
      <c r="A109" s="6" t="s">
        <v>258</v>
      </c>
      <c r="B109" s="2" t="s">
        <v>259</v>
      </c>
      <c r="C109" s="3" t="s">
        <v>11</v>
      </c>
      <c r="D109" s="3" t="s">
        <v>63</v>
      </c>
      <c r="E109" s="3" t="s">
        <v>26</v>
      </c>
      <c r="F109" s="3" t="s">
        <v>77</v>
      </c>
      <c r="G109" s="3" t="s">
        <v>14</v>
      </c>
      <c r="H109" s="4" t="s">
        <v>68</v>
      </c>
      <c r="I109" s="8">
        <v>0</v>
      </c>
      <c r="J109" s="14">
        <v>7.1999999999999998E-3</v>
      </c>
      <c r="K109" s="3" t="s">
        <v>109</v>
      </c>
      <c r="L109" s="5" t="str">
        <f>HYPERLINK("https://www.franklintempleton.cz/download/cs-cz/key-information-document/e0bfa46f-7d19-4639-9cec-77d57d49dba5/PRIIPSEU_LU1704830576_cs_CZ.pdf","KID")</f>
        <v>KID</v>
      </c>
    </row>
    <row r="110" spans="1:12" ht="45" x14ac:dyDescent="0.25">
      <c r="A110" s="9" t="s">
        <v>260</v>
      </c>
      <c r="B110" t="s">
        <v>261</v>
      </c>
      <c r="C110" s="7" t="s">
        <v>11</v>
      </c>
      <c r="D110" s="7" t="s">
        <v>63</v>
      </c>
      <c r="E110" s="7" t="s">
        <v>26</v>
      </c>
      <c r="F110" s="7" t="s">
        <v>13</v>
      </c>
      <c r="G110" s="7" t="s">
        <v>14</v>
      </c>
      <c r="H110" s="10" t="s">
        <v>98</v>
      </c>
      <c r="I110" s="11">
        <v>0</v>
      </c>
      <c r="J110" s="13">
        <v>9.6000000000000009E-3</v>
      </c>
      <c r="K110" s="7" t="s">
        <v>106</v>
      </c>
      <c r="L110" s="12" t="str">
        <f>HYPERLINK("https://api.fundinfo.com/document/b1668cf8b7d675fc820a31cbee768927_161395/PRP_CZ_cs_LU2374236318_YES_2026-03-03.pdf?apiKey=d84ea5a6-caca-4b8c-a1dc-94cb88b9ac7c","KID")</f>
        <v>KID</v>
      </c>
    </row>
    <row r="111" spans="1:12" s="2" customFormat="1" ht="45" x14ac:dyDescent="0.25">
      <c r="A111" s="6" t="s">
        <v>262</v>
      </c>
      <c r="B111" s="2" t="s">
        <v>263</v>
      </c>
      <c r="C111" s="3" t="s">
        <v>11</v>
      </c>
      <c r="D111" s="3" t="s">
        <v>63</v>
      </c>
      <c r="E111" s="3" t="s">
        <v>26</v>
      </c>
      <c r="F111" s="3" t="s">
        <v>13</v>
      </c>
      <c r="G111" s="3" t="s">
        <v>14</v>
      </c>
      <c r="H111" s="4" t="s">
        <v>98</v>
      </c>
      <c r="I111" s="8">
        <v>0</v>
      </c>
      <c r="J111" s="14">
        <v>7.1999999999999998E-3</v>
      </c>
      <c r="K111" s="3" t="s">
        <v>101</v>
      </c>
      <c r="L111" s="5" t="str">
        <f>HYPERLINK("https://fidelity.priips-document.com/Fidelity-International/LU0368678339/cs/eu/","KID")</f>
        <v>KID</v>
      </c>
    </row>
    <row r="112" spans="1:12" ht="45" x14ac:dyDescent="0.25">
      <c r="A112" s="9" t="s">
        <v>264</v>
      </c>
      <c r="B112" t="s">
        <v>265</v>
      </c>
      <c r="C112" s="7" t="s">
        <v>11</v>
      </c>
      <c r="D112" s="7" t="s">
        <v>63</v>
      </c>
      <c r="E112" s="7" t="s">
        <v>26</v>
      </c>
      <c r="F112" s="7" t="s">
        <v>13</v>
      </c>
      <c r="G112" s="7" t="s">
        <v>14</v>
      </c>
      <c r="H112" s="10" t="s">
        <v>68</v>
      </c>
      <c r="I112" s="11">
        <v>0</v>
      </c>
      <c r="J112" s="13">
        <v>5.7600000000000004E-3</v>
      </c>
      <c r="K112" s="7" t="s">
        <v>106</v>
      </c>
      <c r="L112" s="12" t="str">
        <f>HYPERLINK("https://api.fundinfo.com/document/6b88240bb09d71c51a9442f18014c395_142211/PRP_CZ_cs_LU0119195450_YES_2026-03-03.pdf?apiKey=d84ea5a6-caca-4b8c-a1dc-94cb88b9ac7c","KID")</f>
        <v>KID</v>
      </c>
    </row>
    <row r="113" spans="1:12" s="2" customFormat="1" ht="45" x14ac:dyDescent="0.25">
      <c r="A113" s="6" t="s">
        <v>266</v>
      </c>
      <c r="B113" s="2" t="s">
        <v>267</v>
      </c>
      <c r="C113" s="3" t="s">
        <v>11</v>
      </c>
      <c r="D113" s="3" t="s">
        <v>63</v>
      </c>
      <c r="E113" s="3" t="s">
        <v>26</v>
      </c>
      <c r="F113" s="3" t="s">
        <v>13</v>
      </c>
      <c r="G113" s="3" t="s">
        <v>14</v>
      </c>
      <c r="H113" s="4" t="s">
        <v>27</v>
      </c>
      <c r="I113" s="8">
        <v>0</v>
      </c>
      <c r="J113" s="14">
        <v>5.0400000000000002E-3</v>
      </c>
      <c r="K113" s="3" t="s">
        <v>109</v>
      </c>
      <c r="L113" s="5" t="str">
        <f>HYPERLINK("https://www.franklintempleton.cz/download/cs-cz/key-information-document/7694a655-b508-4c99-9674-2f66b47c50ef/PRIIPSEU_LU0768356593_cs_CZ.pdf","KID")</f>
        <v>KID</v>
      </c>
    </row>
    <row r="114" spans="1:12" ht="45" x14ac:dyDescent="0.25">
      <c r="A114" s="9" t="s">
        <v>268</v>
      </c>
      <c r="B114" t="s">
        <v>269</v>
      </c>
      <c r="C114" s="7" t="s">
        <v>11</v>
      </c>
      <c r="D114" s="7" t="s">
        <v>63</v>
      </c>
      <c r="E114" s="7" t="s">
        <v>26</v>
      </c>
      <c r="F114" s="7" t="s">
        <v>77</v>
      </c>
      <c r="G114" s="7" t="s">
        <v>14</v>
      </c>
      <c r="H114" s="10" t="s">
        <v>98</v>
      </c>
      <c r="I114" s="11">
        <v>0</v>
      </c>
      <c r="J114" s="13">
        <v>1.008E-2</v>
      </c>
      <c r="K114" s="7" t="s">
        <v>109</v>
      </c>
      <c r="L114" s="12" t="str">
        <f>HYPERLINK("https://www.franklintempleton.cz/download/cs-cz/key-information-document/6a053f91-e60f-477e-b040-9847777a51d4/PRIIPSEU_LU0229946628_cs_CZ.pdf","KID")</f>
        <v>KID</v>
      </c>
    </row>
    <row r="115" spans="1:12" s="2" customFormat="1" ht="45" x14ac:dyDescent="0.25">
      <c r="A115" s="6" t="s">
        <v>270</v>
      </c>
      <c r="B115" s="2" t="s">
        <v>271</v>
      </c>
      <c r="C115" s="3" t="s">
        <v>11</v>
      </c>
      <c r="D115" s="3" t="s">
        <v>63</v>
      </c>
      <c r="E115" s="3" t="s">
        <v>131</v>
      </c>
      <c r="F115" s="3" t="s">
        <v>13</v>
      </c>
      <c r="G115" s="3" t="s">
        <v>14</v>
      </c>
      <c r="H115" s="4" t="s">
        <v>27</v>
      </c>
      <c r="I115" s="8">
        <v>0</v>
      </c>
      <c r="J115" s="14">
        <v>5.7600000000000004E-3</v>
      </c>
      <c r="K115" s="3" t="s">
        <v>106</v>
      </c>
      <c r="L115" s="5" t="str">
        <f>HYPERLINK("https://api.fundinfo.com/document/98f67832b86927c1949fb5e5981b8eab_160235/PRP_CZ_cs_LU2007298628_YES_2026-03-03.pdf?apiKey=d84ea5a6-caca-4b8c-a1dc-94cb88b9ac7c","KID")</f>
        <v>KID</v>
      </c>
    </row>
    <row r="116" spans="1:12" ht="45" x14ac:dyDescent="0.25">
      <c r="A116" s="9" t="s">
        <v>272</v>
      </c>
      <c r="B116" t="s">
        <v>273</v>
      </c>
      <c r="C116" s="7" t="s">
        <v>11</v>
      </c>
      <c r="D116" s="7" t="s">
        <v>63</v>
      </c>
      <c r="E116" s="7" t="s">
        <v>26</v>
      </c>
      <c r="F116" s="7" t="s">
        <v>13</v>
      </c>
      <c r="G116" s="7" t="s">
        <v>14</v>
      </c>
      <c r="H116" s="10" t="s">
        <v>27</v>
      </c>
      <c r="I116" s="11">
        <v>0</v>
      </c>
      <c r="J116" s="13">
        <v>6.4799999999999996E-3</v>
      </c>
      <c r="K116" s="7" t="s">
        <v>109</v>
      </c>
      <c r="L116" s="12" t="str">
        <f>HYPERLINK("https://www.franklintempleton.cz/download/cs-cz/key-information-document/185bc16f-9535-491e-af75-0f684d2e0c5d/PRIIPSEU_LU1162221912_cs_CZ.pdf","KID")</f>
        <v>KID</v>
      </c>
    </row>
    <row r="117" spans="1:12" s="2" customFormat="1" ht="45" x14ac:dyDescent="0.25">
      <c r="A117" s="6" t="s">
        <v>274</v>
      </c>
      <c r="B117" s="2" t="s">
        <v>275</v>
      </c>
      <c r="C117" s="3" t="s">
        <v>11</v>
      </c>
      <c r="D117" s="3" t="s">
        <v>63</v>
      </c>
      <c r="E117" s="3" t="s">
        <v>26</v>
      </c>
      <c r="F117" s="3" t="s">
        <v>77</v>
      </c>
      <c r="G117" s="3" t="s">
        <v>14</v>
      </c>
      <c r="H117" s="4" t="s">
        <v>68</v>
      </c>
      <c r="I117" s="8">
        <v>0</v>
      </c>
      <c r="J117" s="14">
        <v>1.008E-2</v>
      </c>
      <c r="K117" s="3" t="s">
        <v>109</v>
      </c>
      <c r="L117" s="5" t="str">
        <f>HYPERLINK("https://www.franklintempleton.cz/download/cs-cz/key-information-document/9a21917b-97cd-4890-9ad1-efe403988287/PRIIPSEU_LU0390137031_cs_CZ.pdf","KID")</f>
        <v>KID</v>
      </c>
    </row>
    <row r="118" spans="1:12" ht="45" x14ac:dyDescent="0.25">
      <c r="A118" s="9" t="s">
        <v>276</v>
      </c>
      <c r="B118" t="s">
        <v>277</v>
      </c>
      <c r="C118" s="7" t="s">
        <v>11</v>
      </c>
      <c r="D118" s="7" t="s">
        <v>63</v>
      </c>
      <c r="E118" s="7" t="s">
        <v>26</v>
      </c>
      <c r="F118" s="7" t="s">
        <v>77</v>
      </c>
      <c r="G118" s="7" t="s">
        <v>14</v>
      </c>
      <c r="H118" s="10" t="s">
        <v>98</v>
      </c>
      <c r="I118" s="11">
        <v>0</v>
      </c>
      <c r="J118" s="13">
        <v>7.92E-3</v>
      </c>
      <c r="K118" s="7" t="s">
        <v>109</v>
      </c>
      <c r="L118" s="12" t="str">
        <f>HYPERLINK("https://www.franklintempleton.cz/download/cs-cz/key-information-document/c85aec0c-cc56-41b8-bcee-6a4402237939/PRIIPSEU_LU0128522744_cs_CZ.pdf","KID")</f>
        <v>KID</v>
      </c>
    </row>
    <row r="119" spans="1:12" s="2" customFormat="1" ht="45" x14ac:dyDescent="0.25">
      <c r="A119" s="6" t="s">
        <v>278</v>
      </c>
      <c r="B119" s="2" t="s">
        <v>279</v>
      </c>
      <c r="C119" s="3" t="s">
        <v>11</v>
      </c>
      <c r="D119" s="3" t="s">
        <v>63</v>
      </c>
      <c r="E119" s="3" t="s">
        <v>26</v>
      </c>
      <c r="F119" s="3" t="s">
        <v>13</v>
      </c>
      <c r="G119" s="3" t="s">
        <v>14</v>
      </c>
      <c r="H119" s="4" t="s">
        <v>68</v>
      </c>
      <c r="I119" s="8">
        <v>0</v>
      </c>
      <c r="J119" s="14">
        <v>7.1999999999999998E-3</v>
      </c>
      <c r="K119" s="3" t="s">
        <v>101</v>
      </c>
      <c r="L119" s="5" t="str">
        <f>HYPERLINK("https://fidelity.priips-document.com/Fidelity-International/LU0261951957/cs/eu/","KID")</f>
        <v>KID</v>
      </c>
    </row>
    <row r="120" spans="1:12" ht="45" x14ac:dyDescent="0.25">
      <c r="A120" s="9" t="s">
        <v>281</v>
      </c>
      <c r="B120" t="s">
        <v>282</v>
      </c>
      <c r="C120" s="7" t="s">
        <v>11</v>
      </c>
      <c r="D120" s="7" t="s">
        <v>63</v>
      </c>
      <c r="E120" s="7" t="s">
        <v>26</v>
      </c>
      <c r="F120" s="7" t="s">
        <v>13</v>
      </c>
      <c r="G120" s="7" t="s">
        <v>14</v>
      </c>
      <c r="H120" s="10" t="s">
        <v>98</v>
      </c>
      <c r="I120" s="11">
        <v>0</v>
      </c>
      <c r="J120" s="13">
        <v>7.1999999999999998E-3</v>
      </c>
      <c r="K120" s="7" t="s">
        <v>101</v>
      </c>
      <c r="L120" s="12" t="str">
        <f>HYPERLINK("https://https://fidelity.priips-document.com/Fidelity-International/LU1048684796/cs/eu/","KID")</f>
        <v>KID</v>
      </c>
    </row>
    <row r="121" spans="1:12" s="2" customFormat="1" ht="45" x14ac:dyDescent="0.25">
      <c r="A121" s="6" t="s">
        <v>283</v>
      </c>
      <c r="B121" s="2" t="s">
        <v>284</v>
      </c>
      <c r="C121" s="3" t="s">
        <v>11</v>
      </c>
      <c r="D121" s="3" t="s">
        <v>63</v>
      </c>
      <c r="E121" s="3" t="s">
        <v>26</v>
      </c>
      <c r="F121" s="3" t="s">
        <v>77</v>
      </c>
      <c r="G121" s="3" t="s">
        <v>14</v>
      </c>
      <c r="H121" s="4" t="s">
        <v>98</v>
      </c>
      <c r="I121" s="8">
        <v>0</v>
      </c>
      <c r="J121" s="14">
        <v>8.879999999999999E-3</v>
      </c>
      <c r="K121" s="3" t="s">
        <v>109</v>
      </c>
      <c r="L121" s="5" t="str">
        <f>HYPERLINK("https://www.franklintempleton.cz/download/cs-cz/key-information-document/75db1c57-057e-4581-a710-fd18fb3235ad/PRIIPSEU_LU0128522157_cs_CZ.pdf","KID")</f>
        <v>KID</v>
      </c>
    </row>
    <row r="122" spans="1:12" ht="45" x14ac:dyDescent="0.25">
      <c r="A122" s="9" t="s">
        <v>341</v>
      </c>
      <c r="B122" t="s">
        <v>285</v>
      </c>
      <c r="C122" s="7" t="s">
        <v>11</v>
      </c>
      <c r="D122" s="7" t="s">
        <v>63</v>
      </c>
      <c r="E122" s="7" t="s">
        <v>26</v>
      </c>
      <c r="F122" s="7" t="s">
        <v>13</v>
      </c>
      <c r="G122" s="7" t="s">
        <v>14</v>
      </c>
      <c r="H122" s="10" t="s">
        <v>98</v>
      </c>
      <c r="I122" s="11">
        <v>0</v>
      </c>
      <c r="J122" s="13">
        <v>7.1999999999999998E-3</v>
      </c>
      <c r="K122" s="7" t="s">
        <v>101</v>
      </c>
      <c r="L122" s="12" t="str">
        <f>HYPERLINK("https://fidelity.priips-document.com/Fidelity-International/LU0979392841/cs/eu/","KID")</f>
        <v>KID</v>
      </c>
    </row>
    <row r="123" spans="1:12" s="2" customFormat="1" ht="45" x14ac:dyDescent="0.25">
      <c r="A123" s="6" t="s">
        <v>286</v>
      </c>
      <c r="B123" s="2" t="s">
        <v>287</v>
      </c>
      <c r="C123" s="3" t="s">
        <v>11</v>
      </c>
      <c r="D123" s="3" t="s">
        <v>63</v>
      </c>
      <c r="E123" s="3" t="s">
        <v>26</v>
      </c>
      <c r="F123" s="3" t="s">
        <v>13</v>
      </c>
      <c r="G123" s="3" t="s">
        <v>14</v>
      </c>
      <c r="H123" s="4" t="s">
        <v>68</v>
      </c>
      <c r="I123" s="8">
        <v>0</v>
      </c>
      <c r="J123" s="14">
        <v>7.1999999999999998E-3</v>
      </c>
      <c r="K123" s="3" t="s">
        <v>179</v>
      </c>
      <c r="L123" s="5" t="str">
        <f>HYPERLINK("https://www.conseq.cz/Conseq/Document.ashx?file=LU0545039389-KIID-CZE-CS","KID")</f>
        <v>KID</v>
      </c>
    </row>
    <row r="124" spans="1:12" ht="45" x14ac:dyDescent="0.25">
      <c r="A124" s="9" t="s">
        <v>288</v>
      </c>
      <c r="B124" t="s">
        <v>289</v>
      </c>
      <c r="C124" s="7" t="s">
        <v>11</v>
      </c>
      <c r="D124" s="7" t="s">
        <v>63</v>
      </c>
      <c r="E124" s="7" t="s">
        <v>26</v>
      </c>
      <c r="F124" s="7" t="s">
        <v>13</v>
      </c>
      <c r="G124" s="7" t="s">
        <v>14</v>
      </c>
      <c r="H124" s="10" t="s">
        <v>98</v>
      </c>
      <c r="I124" s="11">
        <v>0</v>
      </c>
      <c r="J124" s="13">
        <v>1.0799999999999999E-2</v>
      </c>
      <c r="K124" s="7" t="s">
        <v>109</v>
      </c>
      <c r="L124" s="12" t="str">
        <f>HYPERLINK("https://www.franklintempleton.cz/download/cs-cz/key-information-document/2fcaca61-5e41-4d04-973e-30cd74a6cc59/PRIIPSEU_LU0122613655_cs_CZ.pdf","KID")</f>
        <v>KID</v>
      </c>
    </row>
    <row r="125" spans="1:12" s="2" customFormat="1" ht="45" x14ac:dyDescent="0.25">
      <c r="A125" s="6" t="s">
        <v>290</v>
      </c>
      <c r="B125" s="2" t="s">
        <v>291</v>
      </c>
      <c r="C125" s="3" t="s">
        <v>11</v>
      </c>
      <c r="D125" s="3" t="s">
        <v>63</v>
      </c>
      <c r="E125" s="3" t="s">
        <v>26</v>
      </c>
      <c r="F125" s="3" t="s">
        <v>77</v>
      </c>
      <c r="G125" s="3" t="s">
        <v>14</v>
      </c>
      <c r="H125" s="4" t="s">
        <v>68</v>
      </c>
      <c r="I125" s="8">
        <v>0</v>
      </c>
      <c r="J125" s="14">
        <v>1.008E-2</v>
      </c>
      <c r="K125" s="3" t="s">
        <v>109</v>
      </c>
      <c r="L125" s="5" t="str">
        <f>HYPERLINK("https://www.franklintempleton.cz/download/cs-cz/key-information-document/e371c8b8-68b0-4021-b5de-98ec15f3ffbd/PRIIPSEU_LU0390136736_cs_CZ.pdf","KID")</f>
        <v>KID</v>
      </c>
    </row>
    <row r="126" spans="1:12" ht="45" x14ac:dyDescent="0.25">
      <c r="A126" s="9" t="s">
        <v>292</v>
      </c>
      <c r="B126" t="s">
        <v>293</v>
      </c>
      <c r="C126" s="7" t="s">
        <v>11</v>
      </c>
      <c r="D126" s="7" t="s">
        <v>63</v>
      </c>
      <c r="E126" s="7" t="s">
        <v>26</v>
      </c>
      <c r="F126" s="7" t="s">
        <v>13</v>
      </c>
      <c r="G126" s="7" t="s">
        <v>14</v>
      </c>
      <c r="H126" s="10" t="s">
        <v>68</v>
      </c>
      <c r="I126" s="11">
        <v>0</v>
      </c>
      <c r="J126" s="13">
        <v>7.1999999999999998E-3</v>
      </c>
      <c r="K126" s="7" t="s">
        <v>101</v>
      </c>
      <c r="L126" s="12" t="str">
        <f>HYPERLINK("https://fidelity.priips-document.com/Fidelity-International/LU1841614867/cs/eu/","KID")</f>
        <v>KID</v>
      </c>
    </row>
    <row r="127" spans="1:12" s="2" customFormat="1" ht="45" x14ac:dyDescent="0.25">
      <c r="A127" s="6" t="s">
        <v>294</v>
      </c>
      <c r="B127" s="2" t="s">
        <v>295</v>
      </c>
      <c r="C127" s="3" t="s">
        <v>11</v>
      </c>
      <c r="D127" s="3" t="s">
        <v>63</v>
      </c>
      <c r="E127" s="3" t="s">
        <v>26</v>
      </c>
      <c r="F127" s="3" t="s">
        <v>13</v>
      </c>
      <c r="G127" s="3" t="s">
        <v>14</v>
      </c>
      <c r="H127" s="4" t="s">
        <v>27</v>
      </c>
      <c r="I127" s="8">
        <v>0</v>
      </c>
      <c r="J127" s="14">
        <v>7.1999999999999998E-3</v>
      </c>
      <c r="K127" s="3" t="s">
        <v>179</v>
      </c>
      <c r="L127" s="5" t="str">
        <f>HYPERLINK("https://www.conseq.cz/Conseq/Document.ashx?file=LU0072462426-KIID-CZE-CS","KID")</f>
        <v>KID</v>
      </c>
    </row>
    <row r="128" spans="1:12" ht="45" x14ac:dyDescent="0.25">
      <c r="A128" s="9" t="s">
        <v>296</v>
      </c>
      <c r="B128" t="s">
        <v>297</v>
      </c>
      <c r="C128" s="7" t="s">
        <v>11</v>
      </c>
      <c r="D128" s="7" t="s">
        <v>63</v>
      </c>
      <c r="E128" s="7" t="s">
        <v>26</v>
      </c>
      <c r="F128" s="7" t="s">
        <v>13</v>
      </c>
      <c r="G128" s="7" t="s">
        <v>14</v>
      </c>
      <c r="H128" s="10" t="s">
        <v>98</v>
      </c>
      <c r="I128" s="11">
        <v>0</v>
      </c>
      <c r="J128" s="13">
        <v>7.1999999999999998E-3</v>
      </c>
      <c r="K128" s="7" t="s">
        <v>101</v>
      </c>
      <c r="L128" s="12" t="str">
        <f>HYPERLINK("https://fidelity.priips-document.com/Fidelity-International/LU2050860480/cs/eu/","KID")</f>
        <v>KID</v>
      </c>
    </row>
    <row r="129" spans="1:12" s="2" customFormat="1" ht="45" x14ac:dyDescent="0.25">
      <c r="A129" s="6" t="s">
        <v>298</v>
      </c>
      <c r="B129" s="2" t="s">
        <v>299</v>
      </c>
      <c r="C129" s="3" t="s">
        <v>11</v>
      </c>
      <c r="D129" s="3" t="s">
        <v>63</v>
      </c>
      <c r="E129" s="3" t="s">
        <v>26</v>
      </c>
      <c r="F129" s="3" t="s">
        <v>77</v>
      </c>
      <c r="G129" s="3" t="s">
        <v>14</v>
      </c>
      <c r="H129" s="4" t="s">
        <v>98</v>
      </c>
      <c r="I129" s="8">
        <v>0</v>
      </c>
      <c r="J129" s="14">
        <v>7.1999999999999998E-3</v>
      </c>
      <c r="K129" s="3" t="s">
        <v>109</v>
      </c>
      <c r="L129" s="5" t="str">
        <f>HYPERLINK("https://www.franklintempleton.cz/download/cs-cz/key-information-document/acecba43-d0bd-492e-a0a9-c38fd3ed036a/PRIIPSEU_LU2310757120_cs_CZ.pdf","KID")</f>
        <v>KID</v>
      </c>
    </row>
    <row r="130" spans="1:12" ht="45" x14ac:dyDescent="0.25">
      <c r="A130" s="9" t="s">
        <v>300</v>
      </c>
      <c r="B130" t="s">
        <v>301</v>
      </c>
      <c r="C130" s="7" t="s">
        <v>11</v>
      </c>
      <c r="D130" s="7" t="s">
        <v>63</v>
      </c>
      <c r="E130" s="7" t="s">
        <v>26</v>
      </c>
      <c r="F130" s="7" t="s">
        <v>13</v>
      </c>
      <c r="G130" s="7" t="s">
        <v>14</v>
      </c>
      <c r="H130" s="10" t="s">
        <v>68</v>
      </c>
      <c r="I130" s="11">
        <v>0</v>
      </c>
      <c r="J130" s="13">
        <v>1.008E-2</v>
      </c>
      <c r="K130" s="7" t="s">
        <v>109</v>
      </c>
      <c r="L130" s="12" t="str">
        <f>HYPERLINK("https://www.franklintempleton.cz/download/cs-cz/key-information-document/359a1037-d65f-4f49-83d6-91f15d60d7dc/PRIIPSEU_LU0390137627_cs_CZ.pdf","KID")</f>
        <v>KID</v>
      </c>
    </row>
    <row r="131" spans="1:12" s="2" customFormat="1" ht="45" x14ac:dyDescent="0.25">
      <c r="A131" s="6" t="s">
        <v>302</v>
      </c>
      <c r="B131" s="2" t="s">
        <v>303</v>
      </c>
      <c r="C131" s="3" t="s">
        <v>11</v>
      </c>
      <c r="D131" s="3" t="s">
        <v>63</v>
      </c>
      <c r="E131" s="3" t="s">
        <v>26</v>
      </c>
      <c r="F131" s="3" t="s">
        <v>13</v>
      </c>
      <c r="G131" s="3" t="s">
        <v>14</v>
      </c>
      <c r="H131" s="4" t="s">
        <v>98</v>
      </c>
      <c r="I131" s="8">
        <v>0</v>
      </c>
      <c r="J131" s="14">
        <v>7.1999999999999998E-3</v>
      </c>
      <c r="K131" s="3" t="s">
        <v>101</v>
      </c>
      <c r="L131" s="5" t="str">
        <f>HYPERLINK("https://fidelity.priips-document.com/Fidelity-International/LU0069449576/cs/eu/","KID")</f>
        <v>KID</v>
      </c>
    </row>
    <row r="132" spans="1:12" ht="45" x14ac:dyDescent="0.25">
      <c r="A132" s="9" t="s">
        <v>304</v>
      </c>
      <c r="B132" t="s">
        <v>305</v>
      </c>
      <c r="C132" s="7" t="s">
        <v>11</v>
      </c>
      <c r="D132" s="7" t="s">
        <v>63</v>
      </c>
      <c r="E132" s="7" t="s">
        <v>26</v>
      </c>
      <c r="F132" s="7" t="s">
        <v>13</v>
      </c>
      <c r="G132" s="7" t="s">
        <v>14</v>
      </c>
      <c r="H132" s="10" t="s">
        <v>98</v>
      </c>
      <c r="I132" s="11">
        <v>0</v>
      </c>
      <c r="J132" s="13">
        <v>7.1999999999999998E-3</v>
      </c>
      <c r="K132" s="7" t="s">
        <v>101</v>
      </c>
      <c r="L132" s="12" t="str">
        <f>HYPERLINK("https://fidelity.priips-document.com/Fidelity-International/LU0261950470/cs/eu/","KID")</f>
        <v>KID</v>
      </c>
    </row>
    <row r="133" spans="1:12" s="2" customFormat="1" ht="45" x14ac:dyDescent="0.25">
      <c r="A133" s="6" t="s">
        <v>306</v>
      </c>
      <c r="B133" s="2" t="s">
        <v>307</v>
      </c>
      <c r="C133" s="3" t="s">
        <v>11</v>
      </c>
      <c r="D133" s="3" t="s">
        <v>63</v>
      </c>
      <c r="E133" s="3" t="s">
        <v>26</v>
      </c>
      <c r="F133" s="3" t="s">
        <v>13</v>
      </c>
      <c r="G133" s="3" t="s">
        <v>14</v>
      </c>
      <c r="H133" s="4" t="s">
        <v>98</v>
      </c>
      <c r="I133" s="8">
        <v>0</v>
      </c>
      <c r="J133" s="14">
        <v>7.1999999999999998E-3</v>
      </c>
      <c r="K133" s="3" t="s">
        <v>179</v>
      </c>
      <c r="L133" s="5" t="str">
        <f>HYPERLINK("https://www.blackrock.com/cz/individualni-investori/literature/kiid/eu-priips-bgf-asian-dragon-fund-class-a2-usd-lu0072462343-cs.pdf","KID")</f>
        <v>KID</v>
      </c>
    </row>
    <row r="134" spans="1:12" ht="45" x14ac:dyDescent="0.25">
      <c r="A134" s="9" t="s">
        <v>308</v>
      </c>
      <c r="B134" t="s">
        <v>309</v>
      </c>
      <c r="C134" s="7" t="s">
        <v>11</v>
      </c>
      <c r="D134" s="7" t="s">
        <v>63</v>
      </c>
      <c r="E134" s="7" t="s">
        <v>26</v>
      </c>
      <c r="F134" s="7" t="s">
        <v>13</v>
      </c>
      <c r="G134" s="7" t="s">
        <v>14</v>
      </c>
      <c r="H134" s="10" t="s">
        <v>98</v>
      </c>
      <c r="I134" s="11">
        <v>0</v>
      </c>
      <c r="J134" s="13">
        <v>7.1999999999999998E-3</v>
      </c>
      <c r="K134" s="7" t="s">
        <v>109</v>
      </c>
      <c r="L134" s="12" t="str">
        <f>HYPERLINK("https://www.franklintempleton.cz/download/cs-cz/key-information-document/318fe2cc-2414-414e-8e72-0ae6d8a4c68b/PRIIPSEU_LU2075955273_cs_CZ.pdf","KID")</f>
        <v>KID</v>
      </c>
    </row>
    <row r="135" spans="1:12" s="2" customFormat="1" ht="45" x14ac:dyDescent="0.25">
      <c r="A135" s="15" t="s">
        <v>345</v>
      </c>
      <c r="B135" s="2" t="s">
        <v>310</v>
      </c>
      <c r="C135" s="3" t="s">
        <v>11</v>
      </c>
      <c r="D135" s="3" t="s">
        <v>63</v>
      </c>
      <c r="E135" s="3" t="s">
        <v>26</v>
      </c>
      <c r="F135" s="3" t="s">
        <v>13</v>
      </c>
      <c r="G135" s="3" t="s">
        <v>14</v>
      </c>
      <c r="H135" s="4" t="s">
        <v>27</v>
      </c>
      <c r="I135" s="8">
        <v>0</v>
      </c>
      <c r="J135" s="14">
        <v>6.2399999999999999E-3</v>
      </c>
      <c r="K135" s="3" t="s">
        <v>109</v>
      </c>
      <c r="L135" s="5" t="str">
        <f>HYPERLINK("https://www.franklintempleton.cz/download/cs-cz/key-information-document/7271c368-a2b6-47ff-a7f2-16d8ffd021dd/PRIIPSEU_LU0128525689_cs_CZ.pdf","KID")</f>
        <v>KID</v>
      </c>
    </row>
    <row r="136" spans="1:12" ht="45" x14ac:dyDescent="0.25">
      <c r="A136" s="9" t="s">
        <v>311</v>
      </c>
      <c r="B136" t="s">
        <v>312</v>
      </c>
      <c r="C136" s="7" t="s">
        <v>11</v>
      </c>
      <c r="D136" s="7" t="s">
        <v>63</v>
      </c>
      <c r="E136" s="7" t="s">
        <v>214</v>
      </c>
      <c r="F136" s="7" t="s">
        <v>13</v>
      </c>
      <c r="G136" s="7" t="s">
        <v>14</v>
      </c>
      <c r="H136" s="10" t="s">
        <v>23</v>
      </c>
      <c r="I136" s="11">
        <v>0</v>
      </c>
      <c r="J136" s="13">
        <v>6.0000000000000001E-3</v>
      </c>
      <c r="K136" s="7" t="s">
        <v>179</v>
      </c>
      <c r="L136" s="12" t="str">
        <f>HYPERLINK("https://www.blackrock.com/cz/individualni-investori/literature/kiid/eu-priips-bsf-european-select-strategies-fund-class-a2-hedged-czk-lu1433515993-cs.pdf","KID")</f>
        <v>KID</v>
      </c>
    </row>
    <row r="137" spans="1:12" s="2" customFormat="1" ht="45" x14ac:dyDescent="0.25">
      <c r="A137" s="6" t="s">
        <v>313</v>
      </c>
      <c r="B137" s="2" t="s">
        <v>314</v>
      </c>
      <c r="C137" s="3" t="s">
        <v>11</v>
      </c>
      <c r="D137" s="3" t="s">
        <v>63</v>
      </c>
      <c r="E137" s="3" t="s">
        <v>26</v>
      </c>
      <c r="F137" s="3" t="s">
        <v>77</v>
      </c>
      <c r="G137" s="3" t="s">
        <v>14</v>
      </c>
      <c r="H137" s="4" t="s">
        <v>68</v>
      </c>
      <c r="I137" s="8">
        <v>0</v>
      </c>
      <c r="J137" s="14">
        <v>7.1999999999999998E-3</v>
      </c>
      <c r="K137" s="3" t="s">
        <v>109</v>
      </c>
      <c r="L137" s="5" t="str">
        <f>HYPERLINK("https://www.franklintempleton.cz/download/cs-cz/key-information-document/7a86f221-3a19-446c-ba94-ad261c1b3220/PRIIPSEU_LU0140363002_cs_CZ.pdf","KID")</f>
        <v>KID</v>
      </c>
    </row>
    <row r="138" spans="1:12" ht="45" x14ac:dyDescent="0.25">
      <c r="A138" s="9" t="s">
        <v>315</v>
      </c>
      <c r="B138" t="s">
        <v>316</v>
      </c>
      <c r="C138" s="7" t="s">
        <v>11</v>
      </c>
      <c r="D138" s="7" t="s">
        <v>63</v>
      </c>
      <c r="E138" s="7" t="s">
        <v>26</v>
      </c>
      <c r="F138" s="7" t="s">
        <v>13</v>
      </c>
      <c r="G138" s="7" t="s">
        <v>14</v>
      </c>
      <c r="H138" s="10" t="s">
        <v>98</v>
      </c>
      <c r="I138" s="11">
        <v>0</v>
      </c>
      <c r="J138" s="13">
        <v>9.5999999999999992E-3</v>
      </c>
      <c r="K138" s="7" t="s">
        <v>106</v>
      </c>
      <c r="L138" s="12" t="str">
        <f>HYPERLINK("https://api.fundinfo.com/document/4570c072ef910b9686df8ff3c259459a_142426/PRP_CZ_cs_LU0127786860_YES_2026-03-03.pdf?apiKey=d84ea5a6-caca-4b8c-a1dc-94cb88b9ac7c","KID")</f>
        <v>KID</v>
      </c>
    </row>
    <row r="139" spans="1:12" s="2" customFormat="1" ht="45" x14ac:dyDescent="0.25">
      <c r="A139" s="6" t="s">
        <v>343</v>
      </c>
      <c r="B139" s="2" t="s">
        <v>317</v>
      </c>
      <c r="C139" s="3" t="s">
        <v>11</v>
      </c>
      <c r="D139" s="3" t="s">
        <v>63</v>
      </c>
      <c r="E139" s="3" t="s">
        <v>131</v>
      </c>
      <c r="F139" s="3" t="s">
        <v>13</v>
      </c>
      <c r="G139" s="3" t="s">
        <v>14</v>
      </c>
      <c r="H139" s="4" t="s">
        <v>98</v>
      </c>
      <c r="I139" s="8">
        <v>0</v>
      </c>
      <c r="J139" s="14">
        <v>7.1999999999999998E-3</v>
      </c>
      <c r="K139" s="3" t="s">
        <v>101</v>
      </c>
      <c r="L139" s="5" t="str">
        <f>HYPERLINK("https://fidelity.priips-document.com/Fidelity-International/LU2242646235/cs/eu/","KID")</f>
        <v>KID</v>
      </c>
    </row>
    <row r="140" spans="1:12" ht="45" x14ac:dyDescent="0.25">
      <c r="A140" s="9" t="s">
        <v>318</v>
      </c>
      <c r="B140" t="s">
        <v>319</v>
      </c>
      <c r="C140" s="7" t="s">
        <v>11</v>
      </c>
      <c r="D140" s="7" t="s">
        <v>63</v>
      </c>
      <c r="E140" s="7" t="s">
        <v>26</v>
      </c>
      <c r="F140" s="7" t="s">
        <v>77</v>
      </c>
      <c r="G140" s="7" t="s">
        <v>14</v>
      </c>
      <c r="H140" s="10" t="s">
        <v>68</v>
      </c>
      <c r="I140" s="11">
        <v>0</v>
      </c>
      <c r="J140" s="13">
        <v>7.1999999999999998E-3</v>
      </c>
      <c r="K140" s="7" t="s">
        <v>109</v>
      </c>
      <c r="L140" s="12" t="str">
        <f>HYPERLINK("https://www.franklintempleton.cz/download/cs-cz/key-information-document/acba97bf-352d-49f0-8afc-c8276a1afe8d/PRIIPSEU_LU0128525929_cs_CZ.pdf","KID")</f>
        <v>KID</v>
      </c>
    </row>
    <row r="141" spans="1:12" s="2" customFormat="1" ht="45" x14ac:dyDescent="0.25">
      <c r="A141" s="6" t="s">
        <v>320</v>
      </c>
      <c r="B141" s="2" t="s">
        <v>321</v>
      </c>
      <c r="C141" s="3" t="s">
        <v>11</v>
      </c>
      <c r="D141" s="3" t="s">
        <v>63</v>
      </c>
      <c r="E141" s="3" t="s">
        <v>26</v>
      </c>
      <c r="F141" s="3" t="s">
        <v>13</v>
      </c>
      <c r="G141" s="3" t="s">
        <v>14</v>
      </c>
      <c r="H141" s="4" t="s">
        <v>23</v>
      </c>
      <c r="I141" s="8">
        <v>0</v>
      </c>
      <c r="J141" s="14">
        <v>4.6079999999999992E-3</v>
      </c>
      <c r="K141" s="3" t="s">
        <v>109</v>
      </c>
      <c r="L141" s="5" t="str">
        <f>HYPERLINK("https://www.franklintempleton.cz/download/cs-cz/key-information-document/fd7814cd-9955-4a8b-bab1-6136ad4dc746/PRIIPSEU_LU0131126574_cs_CZ.pdf","KID")</f>
        <v>KID</v>
      </c>
    </row>
    <row r="142" spans="1:12" ht="45" x14ac:dyDescent="0.25">
      <c r="A142" s="9" t="s">
        <v>322</v>
      </c>
      <c r="B142" t="s">
        <v>323</v>
      </c>
      <c r="C142" s="7" t="s">
        <v>11</v>
      </c>
      <c r="D142" s="7" t="s">
        <v>63</v>
      </c>
      <c r="E142" s="7" t="s">
        <v>26</v>
      </c>
      <c r="F142" s="7" t="s">
        <v>13</v>
      </c>
      <c r="G142" s="7" t="s">
        <v>14</v>
      </c>
      <c r="H142" s="10" t="s">
        <v>68</v>
      </c>
      <c r="I142" s="11">
        <v>0</v>
      </c>
      <c r="J142" s="13">
        <v>9.5999999999999992E-3</v>
      </c>
      <c r="K142" s="7" t="s">
        <v>106</v>
      </c>
      <c r="L142" s="12" t="str">
        <f>HYPERLINK("https://api.fundinfo.com/document/a5d1da7e51430c8ee127fe0ec6699964_162184/PRP_CZ_cs_LU0176676459_YES_2026-03-03.pdf?apiKey=d84ea5a6-caca-4b8c-a1dc-94cb88b9ac7c","KID")</f>
        <v>KID</v>
      </c>
    </row>
    <row r="143" spans="1:12" s="2" customFormat="1" ht="45" x14ac:dyDescent="0.25">
      <c r="A143" s="6" t="s">
        <v>324</v>
      </c>
      <c r="B143" s="2" t="s">
        <v>325</v>
      </c>
      <c r="C143" s="3" t="s">
        <v>11</v>
      </c>
      <c r="D143" s="3" t="s">
        <v>63</v>
      </c>
      <c r="E143" s="3" t="s">
        <v>26</v>
      </c>
      <c r="F143" s="3" t="s">
        <v>13</v>
      </c>
      <c r="G143" s="3" t="s">
        <v>14</v>
      </c>
      <c r="H143" s="4" t="s">
        <v>27</v>
      </c>
      <c r="I143" s="8">
        <v>0</v>
      </c>
      <c r="J143" s="14">
        <v>7.1999999999999998E-3</v>
      </c>
      <c r="K143" s="3" t="s">
        <v>101</v>
      </c>
      <c r="L143" s="5" t="str">
        <f>HYPERLINK("https://fidelity.priips-document.com/Fidelity-International/LU2701599156/cs/eu/","KID")</f>
        <v>KID</v>
      </c>
    </row>
    <row r="144" spans="1:12" ht="45" x14ac:dyDescent="0.25">
      <c r="A144" s="9" t="s">
        <v>326</v>
      </c>
      <c r="B144" t="s">
        <v>327</v>
      </c>
      <c r="C144" s="7" t="s">
        <v>11</v>
      </c>
      <c r="D144" s="7" t="s">
        <v>63</v>
      </c>
      <c r="E144" s="7" t="s">
        <v>26</v>
      </c>
      <c r="F144" s="7" t="s">
        <v>13</v>
      </c>
      <c r="G144" s="7" t="s">
        <v>14</v>
      </c>
      <c r="H144" s="10" t="s">
        <v>68</v>
      </c>
      <c r="I144" s="11">
        <v>0</v>
      </c>
      <c r="J144" s="13">
        <v>9.5999999999999992E-3</v>
      </c>
      <c r="K144" s="7" t="s">
        <v>106</v>
      </c>
      <c r="L144" s="12" t="str">
        <f>HYPERLINK("https://api.fundinfo.com/document/5e5a83f55c5b672619dc3851c21efe2d_161611/PRP_CZ_cs_LU0120667240_YES_2026-03-03.pdf?apiKey=d84ea5a6-caca-4b8c-a1dc-94cb88b9ac7c","KID")</f>
        <v>KID</v>
      </c>
    </row>
    <row r="145" spans="1:12" s="2" customFormat="1" ht="45" x14ac:dyDescent="0.25">
      <c r="A145" s="6" t="s">
        <v>328</v>
      </c>
      <c r="B145" s="2" t="s">
        <v>329</v>
      </c>
      <c r="C145" s="3" t="s">
        <v>11</v>
      </c>
      <c r="D145" s="3" t="s">
        <v>63</v>
      </c>
      <c r="E145" s="3" t="s">
        <v>26</v>
      </c>
      <c r="F145" s="3" t="s">
        <v>77</v>
      </c>
      <c r="G145" s="3" t="s">
        <v>14</v>
      </c>
      <c r="H145" s="4" t="s">
        <v>68</v>
      </c>
      <c r="I145" s="8">
        <v>0</v>
      </c>
      <c r="J145" s="14">
        <v>1.008E-2</v>
      </c>
      <c r="K145" s="3" t="s">
        <v>109</v>
      </c>
      <c r="L145" s="5" t="str">
        <f>HYPERLINK("https://www.franklintempleton.cz/download/cs-cz/key-information-document/fb90d08e-26fe-47d2-ba3b-35198ae3982d/PRIIPSEU_LU0300743431_cs_CZ.pdf","KID")</f>
        <v>KID</v>
      </c>
    </row>
    <row r="146" spans="1:12" ht="45" x14ac:dyDescent="0.25">
      <c r="A146" s="9" t="s">
        <v>346</v>
      </c>
      <c r="B146" t="s">
        <v>330</v>
      </c>
      <c r="C146" s="7" t="s">
        <v>11</v>
      </c>
      <c r="D146" s="7" t="s">
        <v>63</v>
      </c>
      <c r="E146" s="7" t="s">
        <v>26</v>
      </c>
      <c r="F146" s="7" t="s">
        <v>13</v>
      </c>
      <c r="G146" s="7" t="s">
        <v>14</v>
      </c>
      <c r="H146" s="10" t="s">
        <v>98</v>
      </c>
      <c r="I146" s="11">
        <v>0</v>
      </c>
      <c r="J146" s="13">
        <v>9.5999999999999992E-3</v>
      </c>
      <c r="K146" s="7" t="s">
        <v>106</v>
      </c>
      <c r="L146" s="12" t="str">
        <f>HYPERLINK("https://www.conseq.cz/Conseq/Document.ashx?file=LU0121175821-KIID-CZE-CS","KID")</f>
        <v>KID</v>
      </c>
    </row>
    <row r="147" spans="1:12" s="2" customFormat="1" ht="45" x14ac:dyDescent="0.25">
      <c r="A147" s="6" t="s">
        <v>347</v>
      </c>
      <c r="B147" s="2" t="s">
        <v>331</v>
      </c>
      <c r="C147" s="3" t="s">
        <v>11</v>
      </c>
      <c r="D147" s="3" t="s">
        <v>63</v>
      </c>
      <c r="E147" s="3" t="s">
        <v>26</v>
      </c>
      <c r="F147" s="3" t="s">
        <v>77</v>
      </c>
      <c r="G147" s="3" t="s">
        <v>14</v>
      </c>
      <c r="H147" s="4" t="s">
        <v>98</v>
      </c>
      <c r="I147" s="8">
        <v>0</v>
      </c>
      <c r="J147" s="14">
        <v>7.1999999999999998E-3</v>
      </c>
      <c r="K147" s="3" t="s">
        <v>109</v>
      </c>
      <c r="L147" s="5" t="str">
        <f>HYPERLINK("https://www.franklintempleton.cz/download/cs-cz/key-information-document/e8470aba-fc58-4c4c-8738-d7c02df6975c/PRIIPSEU_LU0231790675_cs_CZ.pdf","KID")</f>
        <v>KID</v>
      </c>
    </row>
    <row r="148" spans="1:12" ht="45" x14ac:dyDescent="0.25">
      <c r="A148" s="9" t="s">
        <v>332</v>
      </c>
      <c r="B148" t="s">
        <v>333</v>
      </c>
      <c r="C148" s="7" t="s">
        <v>11</v>
      </c>
      <c r="D148" s="7" t="s">
        <v>63</v>
      </c>
      <c r="E148" s="7" t="s">
        <v>26</v>
      </c>
      <c r="F148" s="7" t="s">
        <v>13</v>
      </c>
      <c r="G148" s="7" t="s">
        <v>14</v>
      </c>
      <c r="H148" s="10" t="s">
        <v>27</v>
      </c>
      <c r="I148" s="11">
        <v>0</v>
      </c>
      <c r="J148" s="13">
        <v>7.1999999999999998E-3</v>
      </c>
      <c r="K148" s="7" t="s">
        <v>334</v>
      </c>
      <c r="L148" s="12" t="str">
        <f>HYPERLINK("https://fidelity.priips-document.com/Fidelity-International/LU2504555777/cs/eu/","KID")</f>
        <v>KID</v>
      </c>
    </row>
    <row r="149" spans="1:12" s="2" customFormat="1" ht="45" x14ac:dyDescent="0.25">
      <c r="A149" s="6" t="s">
        <v>344</v>
      </c>
      <c r="B149" s="2" t="s">
        <v>335</v>
      </c>
      <c r="C149" s="3" t="s">
        <v>11</v>
      </c>
      <c r="D149" s="3" t="s">
        <v>63</v>
      </c>
      <c r="E149" s="3" t="s">
        <v>26</v>
      </c>
      <c r="F149" s="3" t="s">
        <v>13</v>
      </c>
      <c r="G149" s="3" t="s">
        <v>14</v>
      </c>
      <c r="H149" s="4" t="s">
        <v>98</v>
      </c>
      <c r="I149" s="8">
        <v>0</v>
      </c>
      <c r="J149" s="14">
        <v>7.1999999999999998E-3</v>
      </c>
      <c r="K149" s="3" t="s">
        <v>101</v>
      </c>
      <c r="L149" s="5" t="str">
        <f>HYPERLINK("https://fidelity.priips-document.com/Fidelity-International/LU0261946445/cs/eu/","KID")</f>
        <v>KID</v>
      </c>
    </row>
    <row r="150" spans="1:12" ht="45" x14ac:dyDescent="0.25">
      <c r="A150" s="9" t="s">
        <v>336</v>
      </c>
      <c r="B150" t="s">
        <v>337</v>
      </c>
      <c r="C150" s="7" t="s">
        <v>11</v>
      </c>
      <c r="D150" s="7" t="s">
        <v>63</v>
      </c>
      <c r="E150" s="7" t="s">
        <v>214</v>
      </c>
      <c r="F150" s="7" t="s">
        <v>13</v>
      </c>
      <c r="G150" s="7" t="s">
        <v>14</v>
      </c>
      <c r="H150" s="10" t="s">
        <v>23</v>
      </c>
      <c r="I150" s="11">
        <v>0</v>
      </c>
      <c r="J150" s="13">
        <v>3.8400000000000001E-3</v>
      </c>
      <c r="K150" s="7" t="s">
        <v>179</v>
      </c>
      <c r="L150" s="12" t="str">
        <f>HYPERLINK("https://www.blackrock.com/cz/individualni-investori/literature/kiid/eu-priips-bgf-euro-corporate-bond-fund-a2-czk-lu1791176222-cs.pdf","KID")</f>
        <v>KID</v>
      </c>
    </row>
    <row r="151" spans="1:12" s="2" customFormat="1" ht="45" x14ac:dyDescent="0.25">
      <c r="A151" s="6" t="s">
        <v>348</v>
      </c>
      <c r="B151" s="2" t="s">
        <v>338</v>
      </c>
      <c r="C151" s="3" t="s">
        <v>11</v>
      </c>
      <c r="D151" s="3" t="s">
        <v>63</v>
      </c>
      <c r="E151" s="3" t="s">
        <v>26</v>
      </c>
      <c r="F151" s="3" t="s">
        <v>77</v>
      </c>
      <c r="G151" s="3" t="s">
        <v>14</v>
      </c>
      <c r="H151" s="4" t="s">
        <v>23</v>
      </c>
      <c r="I151" s="8">
        <v>0</v>
      </c>
      <c r="J151" s="14">
        <v>1.2239999999999999E-2</v>
      </c>
      <c r="K151" s="3" t="s">
        <v>109</v>
      </c>
      <c r="L151" s="5" t="str">
        <f>HYPERLINK("https://www.franklintempleton.cz/download/cs-cz/key-information-document/0df30cb0-b1e5-4669-bdd8-58fa559560f3/PRIIPSEU_LU1212701889_cs_CZ.pdf","KID")</f>
        <v>KID</v>
      </c>
    </row>
    <row r="152" spans="1:12" ht="45" x14ac:dyDescent="0.25">
      <c r="A152" s="9" t="s">
        <v>339</v>
      </c>
      <c r="B152" t="s">
        <v>340</v>
      </c>
      <c r="C152" s="7" t="s">
        <v>11</v>
      </c>
      <c r="D152" s="7" t="s">
        <v>63</v>
      </c>
      <c r="E152" s="7" t="s">
        <v>26</v>
      </c>
      <c r="F152" s="7" t="s">
        <v>13</v>
      </c>
      <c r="G152" s="7" t="s">
        <v>14</v>
      </c>
      <c r="H152" s="10" t="s">
        <v>98</v>
      </c>
      <c r="I152" s="11">
        <v>0</v>
      </c>
      <c r="J152" s="13">
        <v>7.1999999999999998E-3</v>
      </c>
      <c r="K152" s="7" t="s">
        <v>101</v>
      </c>
      <c r="L152" s="12" t="str">
        <f>HYPERLINK("https://www.conseq.cz/Conseq/Document.ashx?file=LU0329678337-KIID-CZE-CS","KID")</f>
        <v>KID</v>
      </c>
    </row>
    <row r="153" spans="1:12" s="2" customFormat="1" x14ac:dyDescent="0.25">
      <c r="A153" s="6"/>
      <c r="C153" s="3"/>
      <c r="D153" s="3"/>
      <c r="E153" s="3"/>
      <c r="F153" s="3"/>
      <c r="G153" s="3"/>
      <c r="H153" s="4"/>
      <c r="I153" s="8"/>
      <c r="J153" s="14"/>
      <c r="K153" s="3"/>
      <c r="L153" s="5"/>
    </row>
  </sheetData>
  <autoFilter ref="A1:L32" xr:uid="{00000000-0001-0000-0000-000000000000}"/>
  <pageMargins left="0.7" right="0.7" top="0.75" bottom="0.75" header="0.3" footer="0.3"/>
  <pageSetup paperSize="9" orientation="portrait" r:id="rId1"/>
  <ignoredErrors>
    <ignoredError sqref="L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Přehled fondů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Horváth Marek</dc:creator>
  <cp:keywords/>
  <dc:description/>
  <cp:lastModifiedBy>Zelinger Michal</cp:lastModifiedBy>
  <cp:revision/>
  <dcterms:created xsi:type="dcterms:W3CDTF">2015-06-05T18:19:34Z</dcterms:created>
  <dcterms:modified xsi:type="dcterms:W3CDTF">2026-07-09T12:20:00Z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be4895-82d9-4e4b-86fd-fd85c612981f_Enabled">
    <vt:lpwstr>true</vt:lpwstr>
  </property>
  <property fmtid="{D5CDD505-2E9C-101B-9397-08002B2CF9AE}" pid="3" name="MSIP_Label_6bbe4895-82d9-4e4b-86fd-fd85c612981f_SetDate">
    <vt:lpwstr>2025-07-01T14:12:55Z</vt:lpwstr>
  </property>
  <property fmtid="{D5CDD505-2E9C-101B-9397-08002B2CF9AE}" pid="4" name="MSIP_Label_6bbe4895-82d9-4e4b-86fd-fd85c612981f_Method">
    <vt:lpwstr>Privileged</vt:lpwstr>
  </property>
  <property fmtid="{D5CDD505-2E9C-101B-9397-08002B2CF9AE}" pid="5" name="MSIP_Label_6bbe4895-82d9-4e4b-86fd-fd85c612981f_Name">
    <vt:lpwstr>Kritické</vt:lpwstr>
  </property>
  <property fmtid="{D5CDD505-2E9C-101B-9397-08002B2CF9AE}" pid="6" name="MSIP_Label_6bbe4895-82d9-4e4b-86fd-fd85c612981f_SiteId">
    <vt:lpwstr>9cca307d-eed7-47e0-a567-a3b37ba0308b</vt:lpwstr>
  </property>
  <property fmtid="{D5CDD505-2E9C-101B-9397-08002B2CF9AE}" pid="7" name="MSIP_Label_6bbe4895-82d9-4e4b-86fd-fd85c612981f_ActionId">
    <vt:lpwstr>a6384010-3e96-4f91-beab-a815768ff0ab</vt:lpwstr>
  </property>
  <property fmtid="{D5CDD505-2E9C-101B-9397-08002B2CF9AE}" pid="8" name="MSIP_Label_6bbe4895-82d9-4e4b-86fd-fd85c612981f_ContentBits">
    <vt:lpwstr>0</vt:lpwstr>
  </property>
</Properties>
</file>